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92EEBCB0-B1CD-4A94-9563-C0C93DEB2521}" xr6:coauthVersionLast="47" xr6:coauthVersionMax="47" xr10:uidLastSave="{00000000-0000-0000-0000-000000000000}"/>
  <bookViews>
    <workbookView xWindow="-110" yWindow="-110" windowWidth="19420" windowHeight="10420" firstSheet="4" activeTab="4" xr2:uid="{00000000-000D-0000-FFFF-FFFF00000000}"/>
  </bookViews>
  <sheets>
    <sheet name="marts" sheetId="2" state="hidden" r:id="rId1"/>
    <sheet name="aprīlis" sheetId="3" state="hidden" r:id="rId2"/>
    <sheet name="maijs" sheetId="4" state="hidden" r:id="rId3"/>
    <sheet name="jūnijs" sheetId="8" state="hidden" r:id="rId4"/>
    <sheet name="jūlijs" sheetId="9" r:id="rId5"/>
    <sheet name="augusts" sheetId="10" r:id="rId6"/>
    <sheet name="septembris" sheetId="11" r:id="rId7"/>
    <sheet name="oktobris" sheetId="12" r:id="rId8"/>
    <sheet name="novembris" sheetId="13" r:id="rId9"/>
    <sheet name="decembris" sheetId="14" r:id="rId10"/>
    <sheet name="PIVOT_atskaite" sheetId="7" r:id="rId11"/>
    <sheet name="PIVOT" sheetId="6" r:id="rId12"/>
    <sheet name="atskaites_jedox" sheetId="5" state="hidden" r:id="rId13"/>
  </sheets>
  <definedNames>
    <definedName name="_palopasteviewstyle" hidden="1">"White"</definedName>
  </definedNames>
  <calcPr calcId="181029"/>
  <pivotCaches>
    <pivotCache cacheId="4" r:id="rId1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9" i="14" l="1"/>
  <c r="H28" i="14"/>
  <c r="E27" i="14"/>
  <c r="D27" i="14"/>
  <c r="D25" i="14" s="1"/>
  <c r="H26" i="14"/>
  <c r="E25" i="14"/>
  <c r="G14" i="14"/>
  <c r="F14" i="14"/>
  <c r="E14" i="14"/>
  <c r="D14" i="14"/>
  <c r="G10" i="14"/>
  <c r="G27" i="14" s="1"/>
  <c r="G25" i="14" s="1"/>
  <c r="F10" i="14"/>
  <c r="F27" i="14" s="1"/>
  <c r="F25" i="14" s="1"/>
  <c r="E10" i="14"/>
  <c r="D10" i="14"/>
  <c r="G6" i="14"/>
  <c r="F6" i="14"/>
  <c r="E6" i="14"/>
  <c r="D6" i="14"/>
  <c r="G3" i="14"/>
  <c r="F3" i="14"/>
  <c r="E3" i="14"/>
  <c r="D3" i="14"/>
  <c r="H25" i="13"/>
  <c r="H24" i="13"/>
  <c r="F23" i="13"/>
  <c r="E23" i="13"/>
  <c r="H22" i="13"/>
  <c r="F21" i="13"/>
  <c r="E21" i="13"/>
  <c r="G14" i="13"/>
  <c r="F14" i="13"/>
  <c r="E14" i="13"/>
  <c r="D14" i="13"/>
  <c r="G10" i="13"/>
  <c r="G23" i="13" s="1"/>
  <c r="G21" i="13" s="1"/>
  <c r="F10" i="13"/>
  <c r="E10" i="13"/>
  <c r="D10" i="13"/>
  <c r="D23" i="13" s="1"/>
  <c r="G6" i="13"/>
  <c r="F6" i="13"/>
  <c r="E6" i="13"/>
  <c r="D6" i="13"/>
  <c r="G3" i="13"/>
  <c r="F3" i="13"/>
  <c r="E3" i="13"/>
  <c r="D3" i="13"/>
  <c r="E37" i="12"/>
  <c r="E35" i="12" s="1"/>
  <c r="G14" i="12"/>
  <c r="F14" i="12"/>
  <c r="E14" i="12"/>
  <c r="D14" i="12"/>
  <c r="F10" i="12"/>
  <c r="F37" i="12" s="1"/>
  <c r="F35" i="12" s="1"/>
  <c r="E10" i="12"/>
  <c r="D10" i="12"/>
  <c r="D37" i="12" s="1"/>
  <c r="D35" i="12" s="1"/>
  <c r="F6" i="12"/>
  <c r="E6" i="12"/>
  <c r="D6" i="12"/>
  <c r="G3" i="12"/>
  <c r="F3" i="12"/>
  <c r="E3" i="12"/>
  <c r="D3" i="12"/>
  <c r="G14" i="11"/>
  <c r="F14" i="11"/>
  <c r="E14" i="11"/>
  <c r="D14" i="11"/>
  <c r="G10" i="11"/>
  <c r="G21" i="11" s="1"/>
  <c r="G19" i="11" s="1"/>
  <c r="F10" i="11"/>
  <c r="F21" i="11" s="1"/>
  <c r="F19" i="11" s="1"/>
  <c r="E10" i="11"/>
  <c r="E21" i="11" s="1"/>
  <c r="E19" i="11" s="1"/>
  <c r="D10" i="11"/>
  <c r="D21" i="11" s="1"/>
  <c r="D19" i="11" s="1"/>
  <c r="G6" i="11"/>
  <c r="F6" i="11"/>
  <c r="E6" i="11"/>
  <c r="D6" i="11"/>
  <c r="G3" i="11"/>
  <c r="F3" i="11"/>
  <c r="D3" i="11"/>
  <c r="G27" i="10"/>
  <c r="G25" i="10" s="1"/>
  <c r="F27" i="10"/>
  <c r="F25" i="10" s="1"/>
  <c r="D27" i="10"/>
  <c r="D25" i="10"/>
  <c r="G14" i="10"/>
  <c r="F14" i="10"/>
  <c r="E14" i="10"/>
  <c r="D14" i="10"/>
  <c r="G10" i="10"/>
  <c r="G3" i="10" s="1"/>
  <c r="F10" i="10"/>
  <c r="E10" i="10"/>
  <c r="E27" i="10" s="1"/>
  <c r="E25" i="10" s="1"/>
  <c r="D10" i="10"/>
  <c r="G6" i="10"/>
  <c r="F6" i="10"/>
  <c r="E6" i="10"/>
  <c r="D6" i="10"/>
  <c r="F3" i="10"/>
  <c r="E3" i="10"/>
  <c r="D3" i="10"/>
  <c r="H29" i="9"/>
  <c r="H28" i="9"/>
  <c r="D27" i="9"/>
  <c r="H26" i="9"/>
  <c r="G14" i="9"/>
  <c r="F14" i="9"/>
  <c r="E14" i="9"/>
  <c r="D14" i="9"/>
  <c r="G10" i="9"/>
  <c r="G27" i="9" s="1"/>
  <c r="G25" i="9" s="1"/>
  <c r="F10" i="9"/>
  <c r="F27" i="9" s="1"/>
  <c r="F25" i="9" s="1"/>
  <c r="E10" i="9"/>
  <c r="E27" i="9" s="1"/>
  <c r="D10" i="9"/>
  <c r="G6" i="9"/>
  <c r="F6" i="9"/>
  <c r="E6" i="9"/>
  <c r="D6" i="9"/>
  <c r="G3" i="9"/>
  <c r="F3" i="9"/>
  <c r="E3" i="9"/>
  <c r="D3" i="9"/>
  <c r="G39" i="8"/>
  <c r="G14" i="8"/>
  <c r="F14" i="8"/>
  <c r="E14" i="8"/>
  <c r="D14" i="8"/>
  <c r="G10" i="8"/>
  <c r="F10" i="8"/>
  <c r="F41" i="8" s="1"/>
  <c r="F39" i="8" s="1"/>
  <c r="E10" i="8"/>
  <c r="E41" i="8" s="1"/>
  <c r="E39" i="8" s="1"/>
  <c r="D10" i="8"/>
  <c r="D41" i="8" s="1"/>
  <c r="D39" i="8" s="1"/>
  <c r="G6" i="8"/>
  <c r="F6" i="8"/>
  <c r="E6" i="8"/>
  <c r="D6" i="8"/>
  <c r="G3" i="8"/>
  <c r="F3" i="8"/>
  <c r="E3" i="8"/>
  <c r="D3" i="8"/>
  <c r="D39" i="6"/>
  <c r="H25" i="14" l="1"/>
  <c r="H27" i="14"/>
  <c r="H23" i="13"/>
  <c r="D21" i="13"/>
  <c r="H21" i="13" s="1"/>
  <c r="E3" i="11"/>
  <c r="E25" i="9"/>
  <c r="H27" i="9"/>
  <c r="D25" i="9"/>
  <c r="I38" i="4"/>
  <c r="I39" i="4"/>
  <c r="I36" i="4"/>
  <c r="I36" i="3"/>
  <c r="I37" i="3"/>
  <c r="I34" i="3"/>
  <c r="H25" i="9" l="1"/>
  <c r="I25" i="9" s="1"/>
  <c r="H39" i="4"/>
  <c r="H38" i="4"/>
  <c r="H36" i="4"/>
  <c r="G35" i="4"/>
  <c r="G14" i="4"/>
  <c r="F14" i="4"/>
  <c r="E14" i="4"/>
  <c r="D14" i="4"/>
  <c r="G10" i="4"/>
  <c r="F10" i="4"/>
  <c r="F37" i="4" s="1"/>
  <c r="F35" i="4" s="1"/>
  <c r="E10" i="4"/>
  <c r="E37" i="4" s="1"/>
  <c r="E35" i="4" s="1"/>
  <c r="D10" i="4"/>
  <c r="G6" i="4"/>
  <c r="F6" i="4"/>
  <c r="E6" i="4"/>
  <c r="D6" i="4"/>
  <c r="G3" i="4"/>
  <c r="F3" i="4"/>
  <c r="E3" i="4"/>
  <c r="D3" i="4"/>
  <c r="H37" i="3"/>
  <c r="H36" i="3"/>
  <c r="H34" i="3"/>
  <c r="G33" i="3"/>
  <c r="G14" i="3"/>
  <c r="F14" i="3"/>
  <c r="E14" i="3"/>
  <c r="D14" i="3"/>
  <c r="G10" i="3"/>
  <c r="F10" i="3"/>
  <c r="F35" i="3" s="1"/>
  <c r="F33" i="3" s="1"/>
  <c r="E10" i="3"/>
  <c r="E35" i="3" s="1"/>
  <c r="E33" i="3" s="1"/>
  <c r="D10" i="3"/>
  <c r="G6" i="3"/>
  <c r="F6" i="3"/>
  <c r="E6" i="3"/>
  <c r="D6" i="3"/>
  <c r="G3" i="3"/>
  <c r="F3" i="3"/>
  <c r="E3" i="3"/>
  <c r="D3" i="3"/>
  <c r="H32" i="2"/>
  <c r="E31" i="2"/>
  <c r="L31" i="2" s="1"/>
  <c r="H30" i="2"/>
  <c r="G29" i="2"/>
  <c r="G14" i="2"/>
  <c r="F14" i="2"/>
  <c r="E14" i="2"/>
  <c r="D14" i="2"/>
  <c r="H14" i="2" s="1"/>
  <c r="G10" i="2"/>
  <c r="G3" i="2" s="1"/>
  <c r="F10" i="2"/>
  <c r="F31" i="2" s="1"/>
  <c r="E10" i="2"/>
  <c r="D10" i="2"/>
  <c r="D31" i="2" s="1"/>
  <c r="G6" i="2"/>
  <c r="F6" i="2"/>
  <c r="E6" i="2"/>
  <c r="D6" i="2"/>
  <c r="F3" i="2"/>
  <c r="E3" i="2"/>
  <c r="D3" i="2"/>
  <c r="H3" i="2" s="1"/>
  <c r="K31" i="2" l="1"/>
  <c r="D29" i="2"/>
  <c r="M31" i="2"/>
  <c r="F29" i="2"/>
  <c r="E29" i="2"/>
  <c r="D35" i="3"/>
  <c r="I35" i="3" s="1"/>
  <c r="I10" i="3"/>
  <c r="D37" i="4"/>
  <c r="I37" i="4" s="1"/>
  <c r="I10" i="4"/>
  <c r="D33" i="3"/>
  <c r="H33" i="3" s="1"/>
  <c r="H35" i="3"/>
  <c r="H37" i="4" l="1"/>
  <c r="D35" i="4"/>
  <c r="H35" i="4" s="1"/>
  <c r="H29" i="2"/>
  <c r="B3" i="5"/>
  <c r="BM6" i="5"/>
  <c r="T8" i="5"/>
  <c r="L8" i="5"/>
  <c r="AD6" i="5"/>
  <c r="AX7" i="5"/>
  <c r="AG7" i="5"/>
  <c r="AC7" i="5"/>
  <c r="AN8" i="5"/>
  <c r="BN7" i="5"/>
  <c r="U7" i="5"/>
  <c r="BO7" i="5"/>
  <c r="AK6" i="5"/>
  <c r="BT6" i="5"/>
  <c r="J6" i="5"/>
  <c r="K7" i="5"/>
  <c r="AS6" i="5"/>
  <c r="Z8" i="5"/>
  <c r="K6" i="5"/>
  <c r="AA8" i="5"/>
  <c r="BP6" i="5"/>
  <c r="BR8" i="5"/>
  <c r="O8" i="5"/>
  <c r="G8" i="5"/>
  <c r="BV8" i="5"/>
  <c r="Z7" i="5"/>
  <c r="AV8" i="5"/>
  <c r="BM7" i="5"/>
  <c r="AP6" i="5"/>
  <c r="N6" i="5"/>
  <c r="U6" i="5"/>
  <c r="Y7" i="5"/>
  <c r="BH8" i="5"/>
  <c r="I6" i="5"/>
  <c r="AH6" i="5"/>
  <c r="AH8" i="5"/>
  <c r="J7" i="5"/>
  <c r="BC7" i="5"/>
  <c r="R7" i="5"/>
  <c r="BS7" i="5"/>
  <c r="BD7" i="5"/>
  <c r="AC8" i="5"/>
  <c r="BK7" i="5"/>
  <c r="AR6" i="5"/>
  <c r="F8" i="5"/>
  <c r="AU7" i="5"/>
  <c r="BR7" i="5"/>
  <c r="I7" i="5"/>
  <c r="AV6" i="5"/>
  <c r="BL7" i="5"/>
  <c r="AB7" i="5"/>
  <c r="BA7" i="5"/>
  <c r="BN6" i="5"/>
  <c r="AT8" i="5"/>
  <c r="AZ7" i="5"/>
  <c r="BD6" i="5"/>
  <c r="T6" i="5"/>
  <c r="AE6" i="5"/>
  <c r="BU7" i="5"/>
  <c r="S8" i="5"/>
  <c r="AY6" i="5"/>
  <c r="BJ6" i="5"/>
  <c r="BU8" i="5"/>
  <c r="AP7" i="5"/>
  <c r="R8" i="5"/>
  <c r="BD8" i="5"/>
  <c r="AG6" i="5"/>
  <c r="AX8" i="5"/>
  <c r="AR8" i="5"/>
  <c r="BB7" i="5"/>
  <c r="C8" i="5"/>
  <c r="AA7" i="5"/>
  <c r="K8" i="5"/>
  <c r="BL6" i="5"/>
  <c r="AA6" i="5"/>
  <c r="AW8" i="5"/>
  <c r="BS6" i="5"/>
  <c r="X6" i="5"/>
  <c r="BG8" i="5"/>
  <c r="H8" i="5"/>
  <c r="AJ7" i="5"/>
  <c r="BO8" i="5"/>
  <c r="M6" i="5"/>
  <c r="AG8" i="5"/>
  <c r="BB6" i="5"/>
  <c r="AM7" i="5"/>
  <c r="AM6" i="5"/>
  <c r="AZ6" i="5"/>
  <c r="BL8" i="5"/>
  <c r="E6" i="5"/>
  <c r="L7" i="5"/>
  <c r="T7" i="5"/>
  <c r="O7" i="5"/>
  <c r="AC6" i="5"/>
  <c r="AM8" i="5"/>
  <c r="P8" i="5"/>
  <c r="AW6" i="5"/>
  <c r="AY7" i="5"/>
  <c r="Q6" i="5"/>
  <c r="AY8" i="5"/>
  <c r="AQ7" i="5"/>
  <c r="B9" i="5"/>
  <c r="AI7" i="5"/>
  <c r="AO7" i="5"/>
  <c r="BF8" i="5"/>
  <c r="BQ8" i="5"/>
  <c r="BF6" i="5"/>
  <c r="AF8" i="5"/>
  <c r="AS8" i="5"/>
  <c r="M7" i="5"/>
  <c r="C7" i="5"/>
  <c r="BM8" i="5"/>
  <c r="BU6" i="5"/>
  <c r="BU9" i="5" s="1"/>
  <c r="R6" i="5"/>
  <c r="R9" i="5" s="1"/>
  <c r="BE6" i="5"/>
  <c r="BT7" i="5"/>
  <c r="BR6" i="5"/>
  <c r="BR9" i="5" s="1"/>
  <c r="AT6" i="5"/>
  <c r="AN7" i="5"/>
  <c r="V7" i="5"/>
  <c r="AB8" i="5"/>
  <c r="AQ8" i="5"/>
  <c r="AP8" i="5"/>
  <c r="BI8" i="5"/>
  <c r="BJ8" i="5"/>
  <c r="W8" i="5"/>
  <c r="Y8" i="5"/>
  <c r="X8" i="5"/>
  <c r="AE8" i="5"/>
  <c r="Q8" i="5"/>
  <c r="F7" i="5"/>
  <c r="E8" i="5"/>
  <c r="I8" i="5"/>
  <c r="AE7" i="5"/>
  <c r="BE8" i="5"/>
  <c r="BO6" i="5"/>
  <c r="BO9" i="5" s="1"/>
  <c r="H6" i="5"/>
  <c r="BT8" i="5"/>
  <c r="H7" i="5"/>
  <c r="H9" i="5" s="1"/>
  <c r="Z6" i="5"/>
  <c r="Z9" i="5" s="1"/>
  <c r="AQ6" i="5"/>
  <c r="AQ9" i="5" s="1"/>
  <c r="N7" i="5"/>
  <c r="AI6" i="5"/>
  <c r="BI7" i="5"/>
  <c r="BE7" i="5"/>
  <c r="BE9" i="5" s="1"/>
  <c r="BP8" i="5"/>
  <c r="O6" i="5"/>
  <c r="AF7" i="5"/>
  <c r="BQ7" i="5"/>
  <c r="AO8" i="5"/>
  <c r="BK6" i="5"/>
  <c r="AX6" i="5"/>
  <c r="AX9" i="5" s="1"/>
  <c r="AU6" i="5"/>
  <c r="BB8" i="5"/>
  <c r="D7" i="5"/>
  <c r="BI6" i="5"/>
  <c r="BI9" i="5" s="1"/>
  <c r="N8" i="5"/>
  <c r="BH6" i="5"/>
  <c r="AO6" i="5"/>
  <c r="AO9" i="5" s="1"/>
  <c r="BG7" i="5"/>
  <c r="AU8" i="5"/>
  <c r="AU9" i="5" s="1"/>
  <c r="BA8" i="5"/>
  <c r="AR7" i="5"/>
  <c r="AL8" i="5"/>
  <c r="P6" i="5"/>
  <c r="C6" i="5"/>
  <c r="P7" i="5"/>
  <c r="BQ6" i="5"/>
  <c r="D8" i="5"/>
  <c r="AN6" i="5"/>
  <c r="AD7" i="5"/>
  <c r="V8" i="5"/>
  <c r="BA6" i="5"/>
  <c r="AB6" i="5"/>
  <c r="Q7" i="5"/>
  <c r="L6" i="5"/>
  <c r="L9" i="5" s="1"/>
  <c r="J8" i="5"/>
  <c r="AJ8" i="5"/>
  <c r="S6" i="5"/>
  <c r="AJ6" i="5"/>
  <c r="AJ9" i="5" s="1"/>
  <c r="BN8" i="5"/>
  <c r="BG6" i="5"/>
  <c r="BG9" i="5" s="1"/>
  <c r="BC6" i="5"/>
  <c r="S7" i="5"/>
  <c r="S9" i="5" s="1"/>
  <c r="AL6" i="5"/>
  <c r="AD8" i="5"/>
  <c r="BH7" i="5"/>
  <c r="BH9" i="5" s="1"/>
  <c r="AK8" i="5"/>
  <c r="AH7" i="5"/>
  <c r="BJ7" i="5"/>
  <c r="AL7" i="5"/>
  <c r="AL9" i="5" s="1"/>
  <c r="AW7" i="5"/>
  <c r="V6" i="5"/>
  <c r="V9" i="5" s="1"/>
  <c r="AS7" i="5"/>
  <c r="BP7" i="5"/>
  <c r="BC8" i="5"/>
  <c r="BC9" i="5" s="1"/>
  <c r="AI8" i="5"/>
  <c r="AI9" i="5" s="1"/>
  <c r="AF6" i="5"/>
  <c r="AF9" i="5" s="1"/>
  <c r="F6" i="5"/>
  <c r="F9" i="5" s="1"/>
  <c r="E7" i="5"/>
  <c r="W6" i="5"/>
  <c r="AV7" i="5"/>
  <c r="BV6" i="5"/>
  <c r="M8" i="5"/>
  <c r="AZ8" i="5"/>
  <c r="AK7" i="5"/>
  <c r="X7" i="5"/>
  <c r="BF7" i="5"/>
  <c r="BF9" i="5" s="1"/>
  <c r="W7" i="5"/>
  <c r="W9" i="5" s="1"/>
  <c r="G7" i="5"/>
  <c r="U8" i="5"/>
  <c r="BV7" i="5"/>
  <c r="BV9" i="5" s="1"/>
  <c r="AT7" i="5"/>
  <c r="BS8" i="5"/>
  <c r="D6" i="5"/>
  <c r="D9" i="5" s="1"/>
  <c r="Y6" i="5"/>
  <c r="Y9" i="5" s="1"/>
  <c r="BK8" i="5"/>
  <c r="BK9" i="5" s="1"/>
  <c r="G6" i="5"/>
  <c r="G9" i="5" s="1"/>
  <c r="AP9" i="5"/>
  <c r="AV9" i="5"/>
  <c r="BD9" i="5"/>
  <c r="AM9" i="5"/>
  <c r="BB9" i="5"/>
  <c r="M9" i="5"/>
  <c r="X9" i="5"/>
  <c r="AA9" i="5"/>
  <c r="BL9" i="5"/>
  <c r="T9" i="5"/>
  <c r="BN9" i="5"/>
  <c r="AR9" i="5"/>
  <c r="AH9" i="5"/>
  <c r="I9" i="5"/>
  <c r="N9" i="5"/>
  <c r="BP9" i="5"/>
  <c r="K9" i="5"/>
  <c r="AD9" i="5"/>
  <c r="BT9" i="5"/>
  <c r="AK9" i="5"/>
  <c r="BM9" i="5"/>
  <c r="J37" i="3" l="1"/>
  <c r="K13" i="4"/>
  <c r="J10" i="4"/>
  <c r="J37" i="4"/>
  <c r="K36" i="4"/>
  <c r="J13" i="4"/>
  <c r="J32" i="2"/>
  <c r="K35" i="3"/>
  <c r="K10" i="3"/>
  <c r="I13" i="8"/>
  <c r="I43" i="8"/>
  <c r="J36" i="3"/>
  <c r="H43" i="8"/>
  <c r="J33" i="2"/>
  <c r="J13" i="3"/>
  <c r="I42" i="8"/>
  <c r="I40" i="8"/>
  <c r="J34" i="3"/>
  <c r="K39" i="4"/>
  <c r="H13" i="8"/>
  <c r="I13" i="2"/>
  <c r="K37" i="4"/>
  <c r="K10" i="4"/>
  <c r="J31" i="2"/>
  <c r="J10" i="2"/>
  <c r="J10" i="3"/>
  <c r="J35" i="3"/>
  <c r="J36" i="4"/>
  <c r="K34" i="3"/>
  <c r="J13" i="2"/>
  <c r="K37" i="3"/>
  <c r="I41" i="8"/>
  <c r="I10" i="8"/>
  <c r="AB9" i="5"/>
  <c r="P9" i="5"/>
  <c r="AC9" i="5"/>
  <c r="C9" i="5"/>
  <c r="J9" i="5"/>
  <c r="O9" i="5"/>
  <c r="BS9" i="5"/>
  <c r="BA9" i="5"/>
  <c r="Q9" i="5"/>
  <c r="AE9" i="5"/>
  <c r="AN9" i="5"/>
  <c r="AY9" i="5"/>
  <c r="E9" i="5"/>
  <c r="BJ9" i="5"/>
  <c r="BQ9" i="5"/>
  <c r="AW9" i="5"/>
  <c r="AZ9" i="5"/>
  <c r="AS9" i="5"/>
  <c r="AT9" i="5"/>
  <c r="U9" i="5"/>
  <c r="AG9" i="5"/>
  <c r="J30" i="2" l="1"/>
  <c r="H40" i="8"/>
  <c r="K13" i="3"/>
  <c r="I33" i="2"/>
  <c r="I30" i="2"/>
  <c r="J39" i="4"/>
  <c r="I31" i="2"/>
  <c r="I10" i="2"/>
  <c r="J38" i="4"/>
  <c r="K36" i="3"/>
  <c r="I32" i="2"/>
  <c r="K38" i="4"/>
  <c r="H10" i="8"/>
  <c r="H41" i="8"/>
  <c r="H42" i="8"/>
</calcChain>
</file>

<file path=xl/sharedStrings.xml><?xml version="1.0" encoding="utf-8"?>
<sst xmlns="http://schemas.openxmlformats.org/spreadsheetml/2006/main" count="5291" uniqueCount="199">
  <si>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</si>
  <si>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</si>
  <si>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</si>
  <si>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</si>
  <si>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</si>
  <si>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</si>
  <si>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</si>
  <si>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</si>
  <si>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</si>
  <si>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</si>
  <si>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</si>
  <si>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 xml:space="preserve">Iesaistīto transportlīdzekļu vienības </t>
  </si>
  <si>
    <t>Sejas maskas</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</si>
  <si>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</si>
  <si>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</si>
  <si>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</si>
  <si>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</si>
  <si>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</si>
  <si>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</si>
  <si>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</si>
  <si>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</si>
  <si>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</si>
  <si>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</si>
  <si>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</si>
  <si>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</si>
  <si>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litri</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</si>
  <si>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</si>
  <si>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</si>
  <si>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</si>
  <si>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</si>
  <si>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</si>
  <si>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</si>
  <si>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</si>
  <si>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</si>
  <si>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</si>
  <si>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</si>
  <si>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</si>
  <si>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</si>
  <si>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</si>
  <si>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</si>
  <si>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</si>
  <si>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</si>
  <si>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</si>
  <si>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</si>
  <si>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</si>
  <si>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</si>
  <si>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</si>
  <si>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</si>
  <si>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</si>
  <si>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</si>
  <si>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</si>
  <si>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</si>
  <si>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</si>
  <si>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</si>
  <si>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Papīra dvieļi, ruļļi</t>
  </si>
  <si>
    <t>Pudeles izsmidzināšanai 650 ml, gab.</t>
  </si>
  <si>
    <t>Pudeles izsmidzināšanai 750 ml, gab.</t>
  </si>
  <si>
    <t>Roku dezinfekcijas līdzekļi, litri</t>
  </si>
  <si>
    <t xml:space="preserve">Virsmu dezinfekcijas līdzekļi , litri </t>
  </si>
  <si>
    <t>gabali</t>
  </si>
  <si>
    <t>ruļļi</t>
  </si>
  <si>
    <t>Roku dezinfekcijas līdzekļi</t>
  </si>
  <si>
    <t>Papīra dvieļi</t>
  </si>
  <si>
    <t xml:space="preserve">Virsmu dezinfekcijas līdzekļi </t>
  </si>
  <si>
    <t>Pudeles izsmidzināšanai 650 ml</t>
  </si>
  <si>
    <t>Pudeles izsmidzināšanai 750 ml</t>
  </si>
  <si>
    <t>Pārskats par sabiedriskā transporta pakalpojumos radītajiem izdevumiem un zaudējumiem
sakarā ar noteiktajiem ierobežojumiem Liepājas pilsētas maršrutos</t>
  </si>
  <si>
    <t>Pašvaldības atbildīgās personas vārds, uzvārds, kontaktinformācija un paraksts (Maija, Līne-Buce, 63425854)</t>
  </si>
  <si>
    <t xml:space="preserve">Pārskats par sabiedriskā transporta pakalpojumos radītajiem izdevumiem un zaudējumiem sakarā ar noteiktajiem ierobežojumiem Liepājas pilsētas maršrutos </t>
  </si>
  <si>
    <t>01.04.2021.- 30.04.2021.</t>
  </si>
  <si>
    <t>01.04.2021.-30.04.2021.</t>
  </si>
  <si>
    <t>Virsmu dezinfekcijas līdzekļi</t>
  </si>
  <si>
    <t>Roku un virsmu dezinfekcijas līdzeklis (4 litri)</t>
  </si>
  <si>
    <t>Cimdi lateksa</t>
  </si>
  <si>
    <t>pāris</t>
  </si>
  <si>
    <t xml:space="preserve">Sociālā distancēšanās sabiedriskā transportā </t>
  </si>
  <si>
    <t>Līmlente brīdinājuma</t>
  </si>
  <si>
    <t>01.04.2019.-30.04.2019.</t>
  </si>
  <si>
    <t>01.05.2021.- 31.05.2021.</t>
  </si>
  <si>
    <t>-</t>
  </si>
  <si>
    <t>Dezinfekcijas līdzekļi</t>
  </si>
  <si>
    <t>Cimdi gumijas</t>
  </si>
  <si>
    <t xml:space="preserve">Dezinfekcijas līdzekļi , litri </t>
  </si>
  <si>
    <t>Sejas maskas, gabali</t>
  </si>
  <si>
    <t>Cimdi gumijas, pāris</t>
  </si>
  <si>
    <t>Cimdi lateksa, gabali</t>
  </si>
  <si>
    <t>01.05.2021.-31.05.2021.</t>
  </si>
  <si>
    <t>01.05.2019.-31.05.2019.</t>
  </si>
  <si>
    <t>Pašvaldības atbildīgās personas vārds, uzvārds, kontaktinformācija un paraksts (Maija Līne-Buce, 63425854)</t>
  </si>
  <si>
    <t>servers_ATD/STIFSS</t>
  </si>
  <si>
    <t>[Edit View]</t>
  </si>
  <si>
    <t>[Swap]</t>
  </si>
  <si>
    <t>Autobusi + minibusi</t>
  </si>
  <si>
    <t xml:space="preserve">Pārskats par sabiedriskā transporta pakalpojumos radītajiem izdevumiem un zaudējumiem
sakarā ar noteiktajiem ierobežojumiem </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</si>
  <si>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</si>
  <si>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</si>
  <si>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</si>
  <si>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</si>
  <si>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</si>
  <si>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</si>
  <si>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</si>
  <si>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</si>
  <si>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</si>
  <si>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</si>
  <si>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</si>
  <si>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</si>
  <si>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</si>
  <si>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</si>
  <si>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</si>
  <si>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</si>
  <si>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</si>
  <si>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</si>
  <si>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</si>
  <si>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</si>
  <si>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</si>
  <si>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</si>
  <si>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</si>
  <si>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</si>
  <si>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</si>
  <si>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</si>
  <si>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</si>
  <si>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Liepāja</t>
  </si>
  <si>
    <t>Minibuss</t>
  </si>
  <si>
    <t>Tramvajs</t>
  </si>
  <si>
    <t>Row Labels</t>
  </si>
  <si>
    <t>Grand Total</t>
  </si>
  <si>
    <t>Column Labels</t>
  </si>
  <si>
    <t>Sum of Vērtība</t>
  </si>
  <si>
    <t>01.06.2021.- 30.06.2021.</t>
  </si>
  <si>
    <t>Dezinfekcijas līdzekļi Lideks OxyDez</t>
  </si>
  <si>
    <t>Dezinfekcijas līdzekļi Lideks-Spray</t>
  </si>
  <si>
    <t>Dezinfekcijas mazgāšanas līdzeklis</t>
  </si>
  <si>
    <t>Pudele ar smidzinātāju 750 ml</t>
  </si>
  <si>
    <t>Pudele ar smidzinātāju 650 ml</t>
  </si>
  <si>
    <t>Mitrinošs roku kopšanas līdzeklis ALCOHOL GEL, 500 ml</t>
  </si>
  <si>
    <t>Sejas maska 50gab.</t>
  </si>
  <si>
    <t>Sejas aizsargmaska medicīniska  50gab.</t>
  </si>
  <si>
    <t xml:space="preserve">Sejas aizsargmaska medicīniska  50gab./4 iepakojumi </t>
  </si>
  <si>
    <t>01.06.2019.-30.06.2019.</t>
  </si>
  <si>
    <t>01.07.2021.- 31.07.2021.</t>
  </si>
  <si>
    <t>SOFT CARE DES E SPRAY šķidrā roku dezinfekcija</t>
  </si>
  <si>
    <t>ALCOHOL GEL Mitrinošs roku kopšanas līdzeklis, 500 ml</t>
  </si>
  <si>
    <t>01.08.2021.- 31.08.2021.</t>
  </si>
  <si>
    <t>Sejas maska, premium, 50gab.</t>
  </si>
  <si>
    <t>Sejas aizsargmaska 3-slāņu, zila, 50gab. (4 iep/kastē)</t>
  </si>
  <si>
    <t>01.08.2019.- 31.08.2019.</t>
  </si>
  <si>
    <t>01.09.2021.- 30.09.2021.</t>
  </si>
  <si>
    <t>01.09.2019.- 30.09.2019.</t>
  </si>
  <si>
    <t>01.10.2021.- 31.10.2021.</t>
  </si>
  <si>
    <t>ALCOHOL GEL mitrinošs roku kopšanas līdzeklis, 500 ml</t>
  </si>
  <si>
    <t>Sejas maskas FFP2</t>
  </si>
  <si>
    <t>Sejas aizsargmaska medicīniska (50 gab./4 iep. kastē)</t>
  </si>
  <si>
    <t>Papīrs Forpus Office Copy A4 80gsm</t>
  </si>
  <si>
    <t>Līmlente norobežojoša atstarojoša</t>
  </si>
  <si>
    <t>01.10.2019.- 31.10.2019.</t>
  </si>
  <si>
    <t>2.SADAĻĀ nosakāmi kopējie izdevumi par Covid-19 infekcijas ierobežošanas pasākumiem, kas izpildāmi atbilstoši MK 09.06.2020. noteikumiem Nr.360; MK 06.11.2020. rīkojumam Nr.655</t>
  </si>
  <si>
    <t>01.11.2021.- 30.11.2021.</t>
  </si>
  <si>
    <t>Dezinfekcijas līdz. virsmām uz 80% etanola bāzes</t>
  </si>
  <si>
    <t>VIRUDES roku un virsmu dezinfekcijas līdzeklis</t>
  </si>
  <si>
    <t>01.11.2019.- 30.11.2019.</t>
  </si>
  <si>
    <t>01.12.2021.- 31.12.2021.</t>
  </si>
  <si>
    <t>Sejas maska FFP2</t>
  </si>
  <si>
    <t>01.12.2019.- 31.12.2019.</t>
  </si>
  <si>
    <t>Jūlijs</t>
  </si>
  <si>
    <t>(A) No pasažieriem, t.sk., personām, kurām noteikti pašvaldības noteiktie braukšanas maksas atvieglojumi, saņemtie ieņēmumi par sniegto sabiedriskā transporta pakalpojumu - 01.07.2021.-31.07.2021.</t>
  </si>
  <si>
    <t>(N) Faktiskais nobraukums - 01.07.2021.-30.07.2021.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</si>
  <si>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</si>
  <si>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</si>
  <si>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</si>
  <si>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</si>
  <si>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</si>
  <si>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</si>
  <si>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</si>
  <si>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</si>
  <si>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</si>
  <si>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</si>
  <si>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</si>
  <si>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</si>
  <si>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</si>
  <si>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</si>
  <si>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</si>
  <si>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</si>
  <si>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</si>
  <si>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</si>
  <si>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</si>
  <si>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</si>
  <si>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</si>
  <si>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</si>
  <si>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</si>
  <si>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</si>
  <si>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</si>
  <si>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</si>
  <si>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</si>
  <si>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Jūlijs Total</t>
  </si>
  <si>
    <t>Augusts Total</t>
  </si>
  <si>
    <t>Septembris Total</t>
  </si>
  <si>
    <t>Oktobris Total</t>
  </si>
  <si>
    <t>Novembris Total</t>
  </si>
  <si>
    <t>Decembris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</si>
</sst>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
    <numFmt numFmtId="166" formatCode=";;;&quot;PnL_&quot;"/>
    <numFmt numFmtId="167" formatCode="#,##0.000"/>
    <numFmt numFmtId="168" formatCode="0.0000"/>
  </numFmts>
  <fonts count="29"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9"/>
      <color rgb="FF004C93"/>
      <name val="Segoe UI"/>
      <family val="2"/>
    </font>
    <font>
      <sz val="11"/>
      <name val="Calibri"/>
      <family val="2"/>
    </font>
    <font>
      <sz val="9"/>
      <color theme="0"/>
      <name val="Segoe UI"/>
      <family val="2"/>
    </font>
    <font>
      <b/>
      <sz val="10"/>
      <color indexed="9"/>
      <name val="Arial"/>
      <family val="2"/>
    </font>
    <font>
      <sz val="9"/>
      <name val="Segoe UI"/>
      <family val="2"/>
    </font>
    <font>
      <i/>
      <sz val="9"/>
      <name val="Segoe UI"/>
      <family val="2"/>
    </font>
    <font>
      <b/>
      <sz val="12"/>
      <name val="Calibri"/>
      <family val="2"/>
      <charset val="186"/>
    </font>
    <font>
      <b/>
      <sz val="12"/>
      <name val="Times New Roman"/>
      <family val="1"/>
      <charset val="186"/>
    </font>
    <font>
      <sz val="8"/>
      <name val="Calibri"/>
      <family val="2"/>
    </font>
    <font>
      <b/>
      <sz val="11"/>
      <name val="Calibri"/>
      <family val="2"/>
      <charset val="186"/>
    </font>
    <font>
      <sz val="10"/>
      <name val="Calibri"/>
      <family val="2"/>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b/>
      <sz val="11"/>
      <color rgb="FF212236"/>
      <name val="Segoe UI"/>
      <family val="2"/>
      <charset val="186"/>
    </font>
    <font>
      <sz val="11"/>
      <color theme="9"/>
      <name val="Calibri"/>
      <family val="2"/>
      <charset val="186"/>
      <scheme val="minor"/>
    </font>
  </fonts>
  <fills count="13">
    <fill>
      <patternFill patternType="none"/>
    </fill>
    <fill>
      <patternFill patternType="gray125"/>
    </fill>
    <fill>
      <patternFill patternType="solid">
        <fgColor theme="9" tint="0.79995117038483843"/>
        <bgColor indexed="64"/>
      </patternFill>
    </fill>
    <fill>
      <patternFill patternType="solid">
        <fgColor theme="7" tint="0.79995117038483843"/>
        <bgColor indexed="64"/>
      </patternFill>
    </fill>
    <fill>
      <patternFill patternType="solid">
        <fgColor theme="4" tint="0.79995117038483843"/>
        <bgColor indexed="64"/>
      </patternFill>
    </fill>
    <fill>
      <patternFill patternType="solid">
        <fgColor rgb="FFFFF2CC"/>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double">
        <color auto="1"/>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medium">
        <color auto="1"/>
      </left>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medium">
        <color auto="1"/>
      </bottom>
      <diagonal/>
    </border>
    <border>
      <left/>
      <right style="thin">
        <color auto="1"/>
      </right>
      <top style="thin">
        <color auto="1"/>
      </top>
      <bottom style="thin">
        <color auto="1"/>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style="medium">
        <color auto="1"/>
      </left>
      <right/>
      <top/>
      <bottom style="thin">
        <color auto="1"/>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
      <left style="thin">
        <color auto="1"/>
      </left>
      <right style="medium">
        <color auto="1"/>
      </right>
      <top style="medium">
        <color auto="1"/>
      </top>
      <bottom/>
      <diagonal/>
    </border>
    <border>
      <left style="medium">
        <color auto="1"/>
      </left>
      <right/>
      <top style="thin">
        <color auto="1"/>
      </top>
      <bottom/>
      <diagonal/>
    </border>
    <border>
      <left style="medium">
        <color auto="1"/>
      </left>
      <right/>
      <top/>
      <bottom/>
      <diagonal/>
    </border>
    <border>
      <left style="medium">
        <color auto="1"/>
      </left>
      <right/>
      <top/>
      <bottom style="medium">
        <color auto="1"/>
      </bottom>
      <diagonal/>
    </border>
    <border>
      <left style="thin">
        <color auto="1"/>
      </left>
      <right style="medium">
        <color auto="1"/>
      </right>
      <top/>
      <bottom style="medium">
        <color auto="1"/>
      </bottom>
      <diagonal/>
    </border>
  </borders>
  <cellStyleXfs count="44">
    <xf numFmtId="0" fontId="0" fillId="0" borderId="0"/>
    <xf numFmtId="0" fontId="10" fillId="0" borderId="0">
      <alignment horizontal="center"/>
    </xf>
    <xf numFmtId="0" fontId="11" fillId="0" borderId="0"/>
    <xf numFmtId="0" fontId="10" fillId="0" borderId="31">
      <alignment horizontal="center"/>
    </xf>
    <xf numFmtId="0" fontId="10" fillId="0" borderId="32">
      <alignment horizontal="center"/>
    </xf>
    <xf numFmtId="0" fontId="12" fillId="6" borderId="33">
      <alignment horizontal="center" vertical="center"/>
    </xf>
    <xf numFmtId="0" fontId="10" fillId="0" borderId="0">
      <alignment horizontal="right"/>
    </xf>
    <xf numFmtId="165" fontId="13" fillId="0" borderId="34">
      <alignment horizontal="left"/>
    </xf>
    <xf numFmtId="0" fontId="10" fillId="0" borderId="0">
      <alignment horizontal="right"/>
    </xf>
    <xf numFmtId="165" fontId="10" fillId="0" borderId="34">
      <alignment horizontal="left"/>
    </xf>
    <xf numFmtId="0" fontId="10" fillId="0" borderId="35">
      <alignment horizontal="right"/>
    </xf>
    <xf numFmtId="0" fontId="10" fillId="0" borderId="36">
      <alignment horizontal="left"/>
    </xf>
    <xf numFmtId="3" fontId="14" fillId="7" borderId="37"/>
    <xf numFmtId="0" fontId="10" fillId="0" borderId="0">
      <alignment horizontal="right"/>
    </xf>
    <xf numFmtId="0" fontId="10" fillId="0" borderId="31">
      <alignment horizontal="left"/>
    </xf>
    <xf numFmtId="0" fontId="10" fillId="0" borderId="38">
      <alignment horizontal="left"/>
    </xf>
    <xf numFmtId="0" fontId="10" fillId="0" borderId="38">
      <alignment horizontal="left"/>
    </xf>
    <xf numFmtId="165" fontId="10" fillId="0" borderId="34">
      <alignment horizontal="left"/>
    </xf>
    <xf numFmtId="165" fontId="10" fillId="0" borderId="39"/>
    <xf numFmtId="165" fontId="10" fillId="0" borderId="40"/>
    <xf numFmtId="165" fontId="10" fillId="0" borderId="40"/>
    <xf numFmtId="0" fontId="10" fillId="0" borderId="0">
      <alignment horizontal="right"/>
    </xf>
    <xf numFmtId="0" fontId="10" fillId="0" borderId="0">
      <alignment horizontal="right"/>
    </xf>
    <xf numFmtId="3" fontId="15" fillId="8" borderId="0"/>
    <xf numFmtId="0" fontId="10" fillId="0" borderId="36">
      <alignment horizontal="left"/>
    </xf>
    <xf numFmtId="0" fontId="10" fillId="0" borderId="36">
      <alignment horizontal="left"/>
    </xf>
    <xf numFmtId="0" fontId="2" fillId="0" borderId="0"/>
    <xf numFmtId="0" fontId="21" fillId="0" borderId="42"/>
    <xf numFmtId="0" fontId="22" fillId="0" borderId="0"/>
    <xf numFmtId="0" fontId="23" fillId="0" borderId="0"/>
    <xf numFmtId="0" fontId="24" fillId="0" borderId="0"/>
    <xf numFmtId="0" fontId="21" fillId="0" borderId="43"/>
    <xf numFmtId="0" fontId="25" fillId="0" borderId="0">
      <alignment horizontal="center"/>
    </xf>
    <xf numFmtId="0" fontId="21" fillId="0" borderId="44">
      <alignment horizontal="center"/>
    </xf>
    <xf numFmtId="0" fontId="21" fillId="0" borderId="45"/>
    <xf numFmtId="0" fontId="21" fillId="0" borderId="0">
      <alignment horizontal="right"/>
    </xf>
    <xf numFmtId="165" fontId="21" fillId="0" borderId="0">
      <alignment horizontal="right"/>
    </xf>
    <xf numFmtId="0" fontId="21" fillId="0" borderId="0"/>
    <xf numFmtId="165" fontId="21" fillId="0" borderId="0"/>
    <xf numFmtId="3" fontId="21" fillId="0" borderId="0"/>
    <xf numFmtId="0" fontId="26" fillId="0" borderId="0"/>
    <xf numFmtId="0" fontId="26" fillId="0" borderId="0"/>
    <xf numFmtId="0" fontId="1" fillId="0" borderId="0"/>
    <xf numFmtId="0" fontId="1" fillId="0" borderId="0"/>
  </cellStyleXfs>
  <cellXfs count="544">
    <xf numFmtId="0" fontId="0" fillId="0" borderId="0" xfId="0"/>
    <xf numFmtId="0" fontId="3" fillId="0" borderId="0" xfId="0" applyFont="1"/>
    <xf numFmtId="0" fontId="4" fillId="0" borderId="0" xfId="0" applyFont="1"/>
    <xf numFmtId="0" fontId="4" fillId="0" borderId="1" xfId="0" applyFont="1" applyBorder="1" applyAlignment="1">
      <alignment vertical="center"/>
    </xf>
    <xf numFmtId="0" fontId="6" fillId="0" borderId="0" xfId="0" applyFont="1"/>
    <xf numFmtId="0" fontId="6" fillId="0" borderId="0" xfId="0" applyFont="1" applyAlignment="1">
      <alignment horizontal="left" wrapText="1"/>
    </xf>
    <xf numFmtId="0" fontId="5" fillId="0" borderId="0" xfId="0" applyFont="1"/>
    <xf numFmtId="0" fontId="5" fillId="3" borderId="2" xfId="0" applyFont="1" applyFill="1" applyBorder="1"/>
    <xf numFmtId="0" fontId="5" fillId="3" borderId="3" xfId="0" applyFont="1" applyFill="1" applyBorder="1" applyAlignment="1">
      <alignment wrapText="1"/>
    </xf>
    <xf numFmtId="0" fontId="5" fillId="3" borderId="4" xfId="0" applyFont="1" applyFill="1" applyBorder="1" applyAlignment="1">
      <alignment horizontal="center"/>
    </xf>
    <xf numFmtId="2" fontId="5" fillId="3" borderId="4" xfId="0" applyNumberFormat="1" applyFont="1" applyFill="1" applyBorder="1" applyAlignment="1">
      <alignment horizontal="center"/>
    </xf>
    <xf numFmtId="2" fontId="5" fillId="3" borderId="5" xfId="0" applyNumberFormat="1" applyFont="1" applyFill="1" applyBorder="1" applyAlignment="1">
      <alignment horizontal="center"/>
    </xf>
    <xf numFmtId="0" fontId="4" fillId="2" borderId="2" xfId="0" applyFont="1" applyFill="1" applyBorder="1" applyAlignment="1">
      <alignment vertical="center"/>
    </xf>
    <xf numFmtId="0" fontId="4" fillId="0" borderId="6" xfId="0" applyFont="1"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3" fillId="2" borderId="8" xfId="0" applyFont="1" applyFill="1" applyBorder="1"/>
    <xf numFmtId="0" fontId="3" fillId="2" borderId="8" xfId="0" applyFont="1" applyFill="1" applyBorder="1" applyAlignment="1">
      <alignment horizontal="right"/>
    </xf>
    <xf numFmtId="0" fontId="3" fillId="2" borderId="8" xfId="0" applyFont="1" applyFill="1" applyBorder="1" applyAlignment="1">
      <alignment horizontal="right" wrapText="1"/>
    </xf>
    <xf numFmtId="0" fontId="3" fillId="2" borderId="9" xfId="0" applyFont="1" applyFill="1" applyBorder="1"/>
    <xf numFmtId="0" fontId="3" fillId="2" borderId="10" xfId="0" applyFont="1" applyFill="1" applyBorder="1" applyAlignment="1">
      <alignment horizontal="center"/>
    </xf>
    <xf numFmtId="0" fontId="4" fillId="4" borderId="12" xfId="0" applyFont="1" applyFill="1" applyBorder="1"/>
    <xf numFmtId="0" fontId="3" fillId="4" borderId="11" xfId="0" applyFont="1" applyFill="1" applyBorder="1"/>
    <xf numFmtId="0" fontId="3" fillId="2" borderId="13" xfId="0" applyFont="1" applyFill="1" applyBorder="1" applyAlignment="1">
      <alignment wrapText="1"/>
    </xf>
    <xf numFmtId="0" fontId="4" fillId="2" borderId="3" xfId="0" applyFont="1" applyFill="1" applyBorder="1" applyAlignment="1">
      <alignment vertical="center"/>
    </xf>
    <xf numFmtId="0" fontId="4" fillId="2" borderId="4" xfId="0" applyFont="1" applyFill="1" applyBorder="1" applyAlignment="1">
      <alignment horizontal="center" vertical="center"/>
    </xf>
    <xf numFmtId="2" fontId="4" fillId="2" borderId="4" xfId="0" applyNumberFormat="1" applyFont="1" applyFill="1" applyBorder="1" applyAlignment="1">
      <alignment horizontal="center" vertical="center"/>
    </xf>
    <xf numFmtId="2" fontId="4" fillId="2" borderId="5" xfId="0" applyNumberFormat="1" applyFont="1" applyFill="1" applyBorder="1" applyAlignment="1">
      <alignment horizontal="center" vertical="center"/>
    </xf>
    <xf numFmtId="0" fontId="3" fillId="4" borderId="10" xfId="0" applyFont="1" applyFill="1" applyBorder="1" applyAlignment="1">
      <alignment horizontal="center" vertical="center" wrapText="1"/>
    </xf>
    <xf numFmtId="0" fontId="3" fillId="2" borderId="12" xfId="0" applyFont="1" applyFill="1" applyBorder="1" applyAlignment="1">
      <alignment horizontal="center" wrapText="1"/>
    </xf>
    <xf numFmtId="0" fontId="4" fillId="4" borderId="16" xfId="0" applyFont="1" applyFill="1" applyBorder="1"/>
    <xf numFmtId="0" fontId="4" fillId="4" borderId="17" xfId="0" applyFont="1" applyFill="1" applyBorder="1"/>
    <xf numFmtId="4" fontId="4" fillId="4" borderId="17" xfId="0" applyNumberFormat="1" applyFont="1" applyFill="1" applyBorder="1" applyAlignment="1">
      <alignment horizontal="center"/>
    </xf>
    <xf numFmtId="4" fontId="4" fillId="4" borderId="18" xfId="0" applyNumberFormat="1" applyFont="1" applyFill="1" applyBorder="1" applyAlignment="1">
      <alignment horizontal="center"/>
    </xf>
    <xf numFmtId="0" fontId="3" fillId="4" borderId="8" xfId="0" applyFont="1" applyFill="1" applyBorder="1" applyAlignment="1">
      <alignment wrapText="1"/>
    </xf>
    <xf numFmtId="0" fontId="3" fillId="4" borderId="7" xfId="0" applyFont="1" applyFill="1" applyBorder="1"/>
    <xf numFmtId="0" fontId="3" fillId="4" borderId="9" xfId="0" applyFont="1" applyFill="1" applyBorder="1" applyAlignment="1">
      <alignment wrapText="1"/>
    </xf>
    <xf numFmtId="0" fontId="3" fillId="0" borderId="19" xfId="0" applyFont="1" applyBorder="1"/>
    <xf numFmtId="0" fontId="4" fillId="0" borderId="19" xfId="0" applyFont="1" applyBorder="1"/>
    <xf numFmtId="4" fontId="3" fillId="0" borderId="0" xfId="0" applyNumberFormat="1" applyFont="1"/>
    <xf numFmtId="4" fontId="3" fillId="4" borderId="1" xfId="0" applyNumberFormat="1" applyFont="1" applyFill="1" applyBorder="1" applyAlignment="1">
      <alignment horizontal="center" vertical="center"/>
    </xf>
    <xf numFmtId="4" fontId="3" fillId="4" borderId="10" xfId="0" applyNumberFormat="1" applyFont="1" applyFill="1" applyBorder="1" applyAlignment="1">
      <alignment horizontal="center" vertical="center"/>
    </xf>
    <xf numFmtId="4" fontId="3" fillId="4" borderId="0" xfId="0" applyNumberFormat="1" applyFont="1" applyFill="1" applyBorder="1" applyAlignment="1">
      <alignment horizontal="center" vertical="center"/>
    </xf>
    <xf numFmtId="0" fontId="3" fillId="4" borderId="1" xfId="0" applyFont="1" applyFill="1" applyBorder="1" applyAlignment="1">
      <alignment horizontal="center" vertical="center" wrapText="1"/>
    </xf>
    <xf numFmtId="0" fontId="6" fillId="0" borderId="0" xfId="0" applyFont="1"/>
    <xf numFmtId="0" fontId="6" fillId="5" borderId="13" xfId="0" applyFont="1" applyFill="1" applyBorder="1" applyAlignment="1">
      <alignment wrapText="1"/>
    </xf>
    <xf numFmtId="2" fontId="6" fillId="5" borderId="14" xfId="0" applyNumberFormat="1" applyFont="1" applyFill="1" applyBorder="1" applyAlignment="1">
      <alignment horizontal="center"/>
    </xf>
    <xf numFmtId="2" fontId="6" fillId="5" borderId="15" xfId="0" applyNumberFormat="1" applyFont="1" applyFill="1" applyBorder="1" applyAlignment="1">
      <alignment horizontal="center"/>
    </xf>
    <xf numFmtId="0" fontId="6" fillId="5" borderId="8" xfId="0" applyFont="1" applyFill="1" applyBorder="1" applyAlignment="1">
      <alignment horizontal="right"/>
    </xf>
    <xf numFmtId="1" fontId="6" fillId="5" borderId="1" xfId="0" applyNumberFormat="1" applyFont="1" applyFill="1" applyBorder="1" applyAlignment="1">
      <alignment horizontal="center"/>
    </xf>
    <xf numFmtId="2" fontId="6" fillId="5" borderId="1" xfId="0" applyNumberFormat="1" applyFont="1" applyFill="1" applyBorder="1" applyAlignment="1">
      <alignment horizontal="center"/>
    </xf>
    <xf numFmtId="2" fontId="6" fillId="5" borderId="7" xfId="0" applyNumberFormat="1" applyFont="1" applyFill="1" applyBorder="1" applyAlignment="1">
      <alignment horizontal="center"/>
    </xf>
    <xf numFmtId="0" fontId="6" fillId="5" borderId="8" xfId="0" applyFont="1" applyFill="1" applyBorder="1" applyAlignment="1">
      <alignment horizontal="right" wrapText="1"/>
    </xf>
    <xf numFmtId="0" fontId="6" fillId="5" borderId="16" xfId="0" applyFont="1" applyFill="1" applyBorder="1" applyAlignment="1">
      <alignment wrapText="1"/>
    </xf>
    <xf numFmtId="2" fontId="6" fillId="5" borderId="17" xfId="0" applyNumberFormat="1" applyFont="1" applyFill="1" applyBorder="1" applyAlignment="1">
      <alignment horizontal="center"/>
    </xf>
    <xf numFmtId="2" fontId="6" fillId="5" borderId="18" xfId="0" applyNumberFormat="1" applyFont="1" applyFill="1" applyBorder="1" applyAlignment="1">
      <alignment horizontal="center"/>
    </xf>
    <xf numFmtId="0" fontId="6" fillId="5" borderId="14" xfId="0" applyFont="1" applyFill="1" applyBorder="1" applyAlignment="1">
      <alignment vertical="center" wrapText="1"/>
    </xf>
    <xf numFmtId="0" fontId="6" fillId="5" borderId="1"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 xfId="0" applyFont="1" applyFill="1" applyBorder="1" applyAlignment="1">
      <alignment vertical="center" wrapText="1"/>
    </xf>
    <xf numFmtId="1" fontId="6" fillId="5" borderId="14" xfId="0" applyNumberFormat="1" applyFont="1" applyFill="1" applyBorder="1" applyAlignment="1">
      <alignment horizontal="center"/>
    </xf>
    <xf numFmtId="0" fontId="6" fillId="5" borderId="8" xfId="0" applyFont="1" applyFill="1" applyBorder="1" applyAlignment="1">
      <alignment horizontal="left" wrapText="1"/>
    </xf>
    <xf numFmtId="4" fontId="0" fillId="0" borderId="0" xfId="0" applyNumberFormat="1"/>
    <xf numFmtId="4" fontId="3" fillId="4" borderId="1" xfId="0" applyNumberFormat="1" applyFont="1" applyFill="1" applyBorder="1" applyAlignment="1">
      <alignment horizontal="center"/>
    </xf>
    <xf numFmtId="4" fontId="3" fillId="4" borderId="0" xfId="0" applyNumberFormat="1" applyFont="1" applyFill="1"/>
    <xf numFmtId="4" fontId="3" fillId="4" borderId="1" xfId="0" applyNumberFormat="1" applyFont="1" applyFill="1" applyBorder="1"/>
    <xf numFmtId="0" fontId="3" fillId="4" borderId="1" xfId="0" applyFont="1" applyFill="1" applyBorder="1"/>
    <xf numFmtId="4" fontId="3" fillId="4" borderId="10" xfId="0" applyNumberFormat="1" applyFont="1" applyFill="1" applyBorder="1" applyAlignment="1">
      <alignment horizontal="center"/>
    </xf>
    <xf numFmtId="4" fontId="3" fillId="4" borderId="10" xfId="0" applyNumberFormat="1" applyFont="1" applyFill="1" applyBorder="1"/>
    <xf numFmtId="4" fontId="3" fillId="2" borderId="14" xfId="0" applyNumberFormat="1" applyFont="1" applyFill="1" applyBorder="1" applyAlignment="1">
      <alignment horizontal="center"/>
    </xf>
    <xf numFmtId="4" fontId="3" fillId="2" borderId="14" xfId="0" applyNumberFormat="1" applyFont="1" applyFill="1" applyBorder="1" applyAlignment="1">
      <alignment horizontal="center" wrapText="1"/>
    </xf>
    <xf numFmtId="4" fontId="3" fillId="2" borderId="15"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7" xfId="0" applyNumberFormat="1" applyFont="1" applyFill="1" applyBorder="1" applyAlignment="1">
      <alignment horizontal="center"/>
    </xf>
    <xf numFmtId="164" fontId="3" fillId="2" borderId="10" xfId="0" applyNumberFormat="1" applyFont="1" applyFill="1" applyBorder="1" applyAlignment="1">
      <alignment horizontal="center"/>
    </xf>
    <xf numFmtId="4" fontId="3" fillId="2" borderId="11" xfId="0" applyNumberFormat="1" applyFont="1" applyFill="1" applyBorder="1" applyAlignment="1">
      <alignment horizontal="center"/>
    </xf>
    <xf numFmtId="2" fontId="6" fillId="3" borderId="14" xfId="0" applyNumberFormat="1" applyFont="1" applyFill="1" applyBorder="1" applyAlignment="1">
      <alignment horizontal="center"/>
    </xf>
    <xf numFmtId="1" fontId="6" fillId="3" borderId="14" xfId="0" applyNumberFormat="1" applyFont="1" applyFill="1" applyBorder="1" applyAlignment="1">
      <alignment horizontal="center"/>
    </xf>
    <xf numFmtId="1" fontId="6" fillId="3" borderId="1" xfId="0" applyNumberFormat="1" applyFont="1" applyFill="1" applyBorder="1" applyAlignment="1">
      <alignment horizontal="center"/>
    </xf>
    <xf numFmtId="0" fontId="6" fillId="5" borderId="6" xfId="0" applyFont="1" applyFill="1" applyBorder="1" applyAlignment="1">
      <alignment vertical="center" wrapText="1"/>
    </xf>
    <xf numFmtId="0" fontId="6" fillId="5" borderId="24" xfId="0" applyFont="1" applyFill="1" applyBorder="1" applyAlignment="1">
      <alignment wrapText="1"/>
    </xf>
    <xf numFmtId="2" fontId="6" fillId="5" borderId="26" xfId="0" applyNumberFormat="1" applyFont="1" applyFill="1" applyBorder="1" applyAlignment="1">
      <alignment horizontal="center"/>
    </xf>
    <xf numFmtId="2" fontId="6" fillId="3" borderId="17" xfId="0" applyNumberFormat="1" applyFont="1" applyFill="1" applyBorder="1" applyAlignment="1">
      <alignment horizontal="center"/>
    </xf>
    <xf numFmtId="0" fontId="6" fillId="5" borderId="27" xfId="0" applyFont="1" applyFill="1" applyBorder="1" applyAlignment="1">
      <alignment horizontal="right"/>
    </xf>
    <xf numFmtId="2" fontId="6" fillId="5" borderId="28" xfId="0" applyNumberFormat="1" applyFont="1" applyFill="1" applyBorder="1" applyAlignment="1">
      <alignment horizontal="center"/>
    </xf>
    <xf numFmtId="2" fontId="6" fillId="3" borderId="1" xfId="0" applyNumberFormat="1" applyFont="1" applyFill="1" applyBorder="1" applyAlignment="1">
      <alignment horizontal="center"/>
    </xf>
    <xf numFmtId="2" fontId="6" fillId="5" borderId="30" xfId="0" applyNumberFormat="1" applyFont="1" applyFill="1" applyBorder="1" applyAlignment="1">
      <alignment horizontal="center"/>
    </xf>
    <xf numFmtId="0" fontId="4" fillId="4" borderId="14" xfId="0" applyFont="1" applyFill="1" applyBorder="1"/>
    <xf numFmtId="4" fontId="3" fillId="4" borderId="0" xfId="0" applyNumberFormat="1" applyFont="1" applyFill="1" applyAlignment="1">
      <alignment horizontal="center" vertical="center"/>
    </xf>
    <xf numFmtId="4" fontId="3" fillId="4" borderId="7" xfId="0" applyNumberFormat="1" applyFont="1" applyFill="1" applyBorder="1" applyAlignment="1">
      <alignment horizontal="center" vertical="center"/>
    </xf>
    <xf numFmtId="4" fontId="3" fillId="4" borderId="11" xfId="0" applyNumberFormat="1" applyFont="1" applyFill="1" applyBorder="1" applyAlignment="1">
      <alignment horizontal="center" vertical="center"/>
    </xf>
    <xf numFmtId="0" fontId="11" fillId="0" borderId="0" xfId="2"/>
    <xf numFmtId="0" fontId="4" fillId="9" borderId="0" xfId="0" applyFont="1" applyFill="1"/>
    <xf numFmtId="2" fontId="4" fillId="9" borderId="0" xfId="0" applyNumberFormat="1" applyFont="1" applyFill="1"/>
    <xf numFmtId="0" fontId="3" fillId="9" borderId="0" xfId="0" applyFont="1" applyFill="1"/>
    <xf numFmtId="0" fontId="6" fillId="9" borderId="0" xfId="0" applyFont="1" applyFill="1"/>
    <xf numFmtId="4" fontId="4" fillId="9" borderId="0" xfId="0" applyNumberFormat="1" applyFont="1" applyFill="1"/>
    <xf numFmtId="4" fontId="3" fillId="9" borderId="0" xfId="0" applyNumberFormat="1" applyFont="1" applyFill="1"/>
    <xf numFmtId="3" fontId="3" fillId="0" borderId="0" xfId="0" applyNumberFormat="1" applyFont="1"/>
    <xf numFmtId="4" fontId="3" fillId="2" borderId="10" xfId="0" applyNumberFormat="1" applyFont="1" applyFill="1" applyBorder="1" applyAlignment="1">
      <alignment horizontal="center"/>
    </xf>
    <xf numFmtId="0" fontId="0" fillId="9" borderId="0" xfId="0" applyFill="1"/>
    <xf numFmtId="4" fontId="0" fillId="9" borderId="0" xfId="0" applyNumberFormat="1" applyFill="1"/>
    <xf numFmtId="3" fontId="0" fillId="0" borderId="0" xfId="0" applyNumberFormat="1"/>
    <xf numFmtId="0" fontId="0" fillId="9" borderId="0" xfId="0" applyFill="1" applyAlignment="1">
      <alignment wrapText="1"/>
    </xf>
    <xf numFmtId="0" fontId="3" fillId="10" borderId="1" xfId="0" applyFont="1" applyFill="1" applyBorder="1" applyAlignment="1">
      <alignment vertical="center" wrapText="1"/>
    </xf>
    <xf numFmtId="0" fontId="3" fillId="10" borderId="1" xfId="0" applyFont="1" applyFill="1" applyBorder="1" applyAlignment="1">
      <alignment vertical="center"/>
    </xf>
    <xf numFmtId="0" fontId="3" fillId="12" borderId="1" xfId="0" applyFont="1" applyFill="1" applyBorder="1" applyAlignment="1">
      <alignment horizontal="center"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xf>
    <xf numFmtId="0" fontId="3" fillId="10" borderId="1" xfId="0" applyFont="1" applyFill="1" applyBorder="1" applyAlignment="1">
      <alignment wrapText="1"/>
    </xf>
    <xf numFmtId="0" fontId="3" fillId="10" borderId="1" xfId="0" applyFont="1" applyFill="1" applyBorder="1"/>
    <xf numFmtId="0" fontId="3" fillId="10" borderId="1" xfId="0" applyFont="1" applyFill="1" applyBorder="1" applyAlignment="1">
      <alignment horizontal="right"/>
    </xf>
    <xf numFmtId="0" fontId="3" fillId="10" borderId="1" xfId="0" applyFont="1" applyFill="1" applyBorder="1" applyAlignment="1">
      <alignment horizontal="right" wrapText="1"/>
    </xf>
    <xf numFmtId="0" fontId="5" fillId="11" borderId="1" xfId="0" applyFont="1" applyFill="1" applyBorder="1" applyAlignment="1">
      <alignment wrapText="1"/>
    </xf>
    <xf numFmtId="0" fontId="5" fillId="11" borderId="1" xfId="0" applyFont="1" applyFill="1" applyBorder="1" applyAlignment="1">
      <alignment horizontal="center"/>
    </xf>
    <xf numFmtId="0" fontId="6" fillId="5" borderId="1" xfId="0" applyFont="1" applyFill="1" applyBorder="1" applyAlignment="1">
      <alignment wrapText="1"/>
    </xf>
    <xf numFmtId="0" fontId="6" fillId="5" borderId="1" xfId="0" applyFont="1" applyFill="1" applyBorder="1" applyAlignment="1">
      <alignment horizontal="right"/>
    </xf>
    <xf numFmtId="0" fontId="6" fillId="5" borderId="1" xfId="0" applyFont="1" applyFill="1" applyBorder="1" applyAlignment="1">
      <alignment horizontal="right" wrapText="1"/>
    </xf>
    <xf numFmtId="0" fontId="3" fillId="12" borderId="1" xfId="0" applyFont="1" applyFill="1" applyBorder="1" applyAlignment="1">
      <alignment wrapText="1"/>
    </xf>
    <xf numFmtId="0" fontId="6" fillId="5" borderId="1" xfId="0" applyFont="1" applyFill="1" applyBorder="1" applyAlignment="1">
      <alignment horizontal="left" wrapText="1"/>
    </xf>
    <xf numFmtId="0" fontId="0" fillId="0" borderId="0" xfId="0" applyFill="1" applyBorder="1"/>
    <xf numFmtId="0" fontId="0" fillId="0" borderId="0" xfId="0" pivotButton="1"/>
    <xf numFmtId="0" fontId="2" fillId="0" borderId="0" xfId="26"/>
    <xf numFmtId="0" fontId="4" fillId="0" borderId="1" xfId="26" applyFont="1" applyBorder="1" applyAlignment="1">
      <alignment vertical="center"/>
    </xf>
    <xf numFmtId="0" fontId="4" fillId="0" borderId="6" xfId="26" applyFont="1" applyBorder="1" applyAlignment="1">
      <alignment vertical="center"/>
    </xf>
    <xf numFmtId="0" fontId="4" fillId="0" borderId="6" xfId="26" applyFont="1" applyBorder="1" applyAlignment="1">
      <alignment horizontal="center" vertical="center"/>
    </xf>
    <xf numFmtId="0" fontId="4" fillId="0" borderId="6" xfId="26" applyFont="1" applyBorder="1" applyAlignment="1">
      <alignment horizontal="center" vertical="center" wrapText="1"/>
    </xf>
    <xf numFmtId="0" fontId="4" fillId="2" borderId="2" xfId="26" applyFont="1" applyFill="1" applyBorder="1" applyAlignment="1">
      <alignment vertical="center"/>
    </xf>
    <xf numFmtId="0" fontId="4" fillId="2" borderId="3" xfId="26" applyFont="1" applyFill="1" applyBorder="1" applyAlignment="1">
      <alignment vertical="center"/>
    </xf>
    <xf numFmtId="0" fontId="4" fillId="2" borderId="4" xfId="26" applyFont="1" applyFill="1" applyBorder="1" applyAlignment="1">
      <alignment horizontal="center" vertical="center"/>
    </xf>
    <xf numFmtId="2" fontId="4" fillId="2" borderId="4" xfId="26" applyNumberFormat="1" applyFont="1" applyFill="1" applyBorder="1" applyAlignment="1">
      <alignment horizontal="center" vertical="center"/>
    </xf>
    <xf numFmtId="2" fontId="4" fillId="2" borderId="5" xfId="26" applyNumberFormat="1" applyFont="1" applyFill="1" applyBorder="1" applyAlignment="1">
      <alignment horizontal="center" vertical="center"/>
    </xf>
    <xf numFmtId="0" fontId="3" fillId="2" borderId="16" xfId="26" applyFont="1" applyFill="1" applyBorder="1" applyAlignment="1">
      <alignment wrapText="1"/>
    </xf>
    <xf numFmtId="4" fontId="3" fillId="2" borderId="17" xfId="26" applyNumberFormat="1" applyFont="1" applyFill="1" applyBorder="1" applyAlignment="1">
      <alignment horizontal="center"/>
    </xf>
    <xf numFmtId="4" fontId="3" fillId="2" borderId="17" xfId="26" applyNumberFormat="1" applyFont="1" applyFill="1" applyBorder="1" applyAlignment="1">
      <alignment horizontal="center" wrapText="1"/>
    </xf>
    <xf numFmtId="4" fontId="3" fillId="2" borderId="18" xfId="26" applyNumberFormat="1" applyFont="1" applyFill="1" applyBorder="1" applyAlignment="1">
      <alignment horizontal="center"/>
    </xf>
    <xf numFmtId="0" fontId="3" fillId="2" borderId="8" xfId="26" applyFont="1" applyFill="1" applyBorder="1"/>
    <xf numFmtId="4" fontId="3" fillId="2" borderId="1" xfId="26" applyNumberFormat="1" applyFont="1" applyFill="1" applyBorder="1" applyAlignment="1">
      <alignment horizontal="center"/>
    </xf>
    <xf numFmtId="3" fontId="3" fillId="2" borderId="1" xfId="26" applyNumberFormat="1" applyFont="1" applyFill="1" applyBorder="1" applyAlignment="1">
      <alignment horizontal="center"/>
    </xf>
    <xf numFmtId="4" fontId="3" fillId="2" borderId="7" xfId="26" applyNumberFormat="1" applyFont="1" applyFill="1" applyBorder="1" applyAlignment="1">
      <alignment horizontal="center"/>
    </xf>
    <xf numFmtId="0" fontId="3" fillId="2" borderId="8" xfId="26" applyFont="1" applyFill="1" applyBorder="1" applyAlignment="1">
      <alignment horizontal="right"/>
    </xf>
    <xf numFmtId="0" fontId="3" fillId="2" borderId="8" xfId="26" applyFont="1" applyFill="1" applyBorder="1" applyAlignment="1">
      <alignment horizontal="right" wrapText="1"/>
    </xf>
    <xf numFmtId="0" fontId="3" fillId="2" borderId="12" xfId="26" applyFont="1" applyFill="1" applyBorder="1" applyAlignment="1">
      <alignment horizontal="center" wrapText="1"/>
    </xf>
    <xf numFmtId="0" fontId="3" fillId="2" borderId="9" xfId="26" applyFont="1" applyFill="1" applyBorder="1"/>
    <xf numFmtId="0" fontId="3" fillId="2" borderId="10" xfId="26" applyFont="1" applyFill="1" applyBorder="1" applyAlignment="1">
      <alignment horizontal="center"/>
    </xf>
    <xf numFmtId="164" fontId="3" fillId="2" borderId="10" xfId="26" applyNumberFormat="1" applyFont="1" applyFill="1" applyBorder="1" applyAlignment="1">
      <alignment horizontal="center"/>
    </xf>
    <xf numFmtId="4" fontId="3" fillId="2" borderId="11" xfId="26" applyNumberFormat="1" applyFont="1" applyFill="1" applyBorder="1" applyAlignment="1">
      <alignment horizontal="center"/>
    </xf>
    <xf numFmtId="0" fontId="5" fillId="3" borderId="2" xfId="26" applyFont="1" applyFill="1" applyBorder="1"/>
    <xf numFmtId="0" fontId="5" fillId="3" borderId="3" xfId="26" applyFont="1" applyFill="1" applyBorder="1" applyAlignment="1">
      <alignment wrapText="1"/>
    </xf>
    <xf numFmtId="0" fontId="5" fillId="3" borderId="4" xfId="26" applyFont="1" applyFill="1" applyBorder="1" applyAlignment="1">
      <alignment horizontal="center"/>
    </xf>
    <xf numFmtId="2" fontId="5" fillId="3" borderId="4" xfId="26" applyNumberFormat="1" applyFont="1" applyFill="1" applyBorder="1" applyAlignment="1">
      <alignment horizontal="center"/>
    </xf>
    <xf numFmtId="2" fontId="5" fillId="3" borderId="5" xfId="26" applyNumberFormat="1" applyFont="1" applyFill="1" applyBorder="1" applyAlignment="1">
      <alignment horizontal="center"/>
    </xf>
    <xf numFmtId="0" fontId="6" fillId="5" borderId="16" xfId="26" applyFont="1" applyFill="1" applyBorder="1" applyAlignment="1">
      <alignment wrapText="1"/>
    </xf>
    <xf numFmtId="0" fontId="6" fillId="5" borderId="17" xfId="26" applyFont="1" applyFill="1" applyBorder="1" applyAlignment="1">
      <alignment vertical="center" wrapText="1"/>
    </xf>
    <xf numFmtId="2" fontId="6" fillId="5" borderId="17" xfId="26" applyNumberFormat="1" applyFont="1" applyFill="1" applyBorder="1" applyAlignment="1">
      <alignment horizontal="center"/>
    </xf>
    <xf numFmtId="2" fontId="6" fillId="3" borderId="17" xfId="26" applyNumberFormat="1" applyFont="1" applyFill="1" applyBorder="1" applyAlignment="1">
      <alignment horizontal="center"/>
    </xf>
    <xf numFmtId="2" fontId="6" fillId="5" borderId="18" xfId="26" applyNumberFormat="1" applyFont="1" applyFill="1" applyBorder="1" applyAlignment="1">
      <alignment horizontal="center"/>
    </xf>
    <xf numFmtId="0" fontId="6" fillId="5" borderId="8" xfId="26" applyFont="1" applyFill="1" applyBorder="1" applyAlignment="1">
      <alignment horizontal="right"/>
    </xf>
    <xf numFmtId="0" fontId="6" fillId="5" borderId="1" xfId="26" applyFont="1" applyFill="1" applyBorder="1" applyAlignment="1">
      <alignment vertical="center" wrapText="1"/>
    </xf>
    <xf numFmtId="2" fontId="6" fillId="5" borderId="14" xfId="26" applyNumberFormat="1" applyFont="1" applyFill="1" applyBorder="1" applyAlignment="1">
      <alignment horizontal="center"/>
    </xf>
    <xf numFmtId="1" fontId="6" fillId="3" borderId="14" xfId="26" applyNumberFormat="1" applyFont="1" applyFill="1" applyBorder="1" applyAlignment="1">
      <alignment horizontal="center"/>
    </xf>
    <xf numFmtId="2" fontId="6" fillId="5" borderId="15" xfId="26" applyNumberFormat="1" applyFont="1" applyFill="1" applyBorder="1" applyAlignment="1">
      <alignment horizontal="center"/>
    </xf>
    <xf numFmtId="0" fontId="6" fillId="3" borderId="8" xfId="26" applyFont="1" applyFill="1" applyBorder="1" applyAlignment="1">
      <alignment horizontal="right"/>
    </xf>
    <xf numFmtId="0" fontId="6" fillId="3" borderId="1" xfId="26" applyFont="1" applyFill="1" applyBorder="1" applyAlignment="1">
      <alignment vertical="center" wrapText="1"/>
    </xf>
    <xf numFmtId="2" fontId="6" fillId="3" borderId="14" xfId="26" applyNumberFormat="1" applyFont="1" applyFill="1" applyBorder="1" applyAlignment="1">
      <alignment horizontal="center"/>
    </xf>
    <xf numFmtId="2" fontId="6" fillId="3" borderId="15" xfId="26" applyNumberFormat="1" applyFont="1" applyFill="1" applyBorder="1" applyAlignment="1">
      <alignment horizontal="center"/>
    </xf>
    <xf numFmtId="2" fontId="6" fillId="3" borderId="1" xfId="26" applyNumberFormat="1" applyFont="1" applyFill="1" applyBorder="1" applyAlignment="1">
      <alignment horizontal="center"/>
    </xf>
    <xf numFmtId="1" fontId="6" fillId="3" borderId="1" xfId="26" applyNumberFormat="1" applyFont="1" applyFill="1" applyBorder="1" applyAlignment="1">
      <alignment horizontal="center"/>
    </xf>
    <xf numFmtId="0" fontId="6" fillId="3" borderId="6" xfId="26" applyFont="1" applyFill="1" applyBorder="1" applyAlignment="1">
      <alignment vertical="center" wrapText="1"/>
    </xf>
    <xf numFmtId="2" fontId="6" fillId="3" borderId="7" xfId="26" applyNumberFormat="1" applyFont="1" applyFill="1" applyBorder="1" applyAlignment="1">
      <alignment horizontal="center"/>
    </xf>
    <xf numFmtId="2" fontId="6" fillId="3" borderId="1" xfId="26" applyNumberFormat="1" applyFont="1" applyFill="1" applyBorder="1" applyAlignment="1">
      <alignment horizontal="center" vertical="center"/>
    </xf>
    <xf numFmtId="0" fontId="3" fillId="3" borderId="8" xfId="26" applyFont="1" applyFill="1" applyBorder="1" applyAlignment="1">
      <alignment horizontal="right"/>
    </xf>
    <xf numFmtId="0" fontId="3" fillId="3" borderId="1" xfId="26" applyFont="1" applyFill="1" applyBorder="1" applyAlignment="1">
      <alignment horizontal="center" vertical="center"/>
    </xf>
    <xf numFmtId="0" fontId="3" fillId="3" borderId="1" xfId="26" applyFont="1" applyFill="1" applyBorder="1"/>
    <xf numFmtId="0" fontId="3" fillId="3" borderId="9" xfId="26" applyFont="1" applyFill="1" applyBorder="1" applyAlignment="1">
      <alignment horizontal="right"/>
    </xf>
    <xf numFmtId="0" fontId="6" fillId="3" borderId="10" xfId="26" applyFont="1" applyFill="1" applyBorder="1" applyAlignment="1">
      <alignment vertical="center" wrapText="1"/>
    </xf>
    <xf numFmtId="0" fontId="3" fillId="3" borderId="10" xfId="26" applyFont="1" applyFill="1" applyBorder="1" applyAlignment="1">
      <alignment horizontal="center" vertical="center"/>
    </xf>
    <xf numFmtId="0" fontId="3" fillId="3" borderId="10" xfId="26" applyFont="1" applyFill="1" applyBorder="1"/>
    <xf numFmtId="2" fontId="6" fillId="3" borderId="11" xfId="26" applyNumberFormat="1" applyFont="1" applyFill="1" applyBorder="1" applyAlignment="1">
      <alignment horizontal="center"/>
    </xf>
    <xf numFmtId="0" fontId="6" fillId="5" borderId="41" xfId="26" applyFont="1" applyFill="1" applyBorder="1" applyAlignment="1">
      <alignment wrapText="1"/>
    </xf>
    <xf numFmtId="2" fontId="6" fillId="5" borderId="28" xfId="26" applyNumberFormat="1" applyFont="1" applyFill="1" applyBorder="1" applyAlignment="1">
      <alignment horizontal="center"/>
    </xf>
    <xf numFmtId="2" fontId="6" fillId="5" borderId="30" xfId="26" applyNumberFormat="1" applyFont="1" applyFill="1" applyBorder="1" applyAlignment="1">
      <alignment horizontal="center"/>
    </xf>
    <xf numFmtId="2" fontId="6" fillId="5" borderId="1" xfId="26" applyNumberFormat="1" applyFont="1" applyFill="1" applyBorder="1" applyAlignment="1">
      <alignment horizontal="center"/>
    </xf>
    <xf numFmtId="2" fontId="6" fillId="5" borderId="7" xfId="26" applyNumberFormat="1" applyFont="1" applyFill="1" applyBorder="1" applyAlignment="1">
      <alignment horizontal="center"/>
    </xf>
    <xf numFmtId="0" fontId="6" fillId="5" borderId="27" xfId="26" applyFont="1" applyFill="1" applyBorder="1" applyAlignment="1">
      <alignment horizontal="right"/>
    </xf>
    <xf numFmtId="0" fontId="4" fillId="4" borderId="12" xfId="26" applyFont="1" applyFill="1" applyBorder="1"/>
    <xf numFmtId="0" fontId="4" fillId="4" borderId="16" xfId="26" applyFont="1" applyFill="1" applyBorder="1"/>
    <xf numFmtId="0" fontId="4" fillId="4" borderId="17" xfId="26" applyFont="1" applyFill="1" applyBorder="1"/>
    <xf numFmtId="4" fontId="4" fillId="4" borderId="17" xfId="26" applyNumberFormat="1" applyFont="1" applyFill="1" applyBorder="1" applyAlignment="1">
      <alignment horizontal="center"/>
    </xf>
    <xf numFmtId="4" fontId="4" fillId="4" borderId="18" xfId="26" applyNumberFormat="1" applyFont="1" applyFill="1" applyBorder="1" applyAlignment="1">
      <alignment horizontal="center"/>
    </xf>
    <xf numFmtId="0" fontId="3" fillId="4" borderId="8" xfId="26" applyFont="1" applyFill="1" applyBorder="1" applyAlignment="1">
      <alignment wrapText="1"/>
    </xf>
    <xf numFmtId="0" fontId="3" fillId="4" borderId="1" xfId="26" applyFont="1" applyFill="1" applyBorder="1" applyAlignment="1">
      <alignment horizontal="center" vertical="center" wrapText="1"/>
    </xf>
    <xf numFmtId="4" fontId="3" fillId="4" borderId="1" xfId="26" applyNumberFormat="1" applyFont="1" applyFill="1" applyBorder="1" applyAlignment="1">
      <alignment horizontal="center" vertical="center"/>
    </xf>
    <xf numFmtId="4" fontId="3" fillId="4" borderId="0" xfId="26" applyNumberFormat="1" applyFont="1" applyFill="1" applyAlignment="1">
      <alignment horizontal="center" vertical="center"/>
    </xf>
    <xf numFmtId="4" fontId="3" fillId="4" borderId="7" xfId="26" applyNumberFormat="1" applyFont="1" applyFill="1" applyBorder="1" applyAlignment="1">
      <alignment horizontal="center" vertical="center"/>
    </xf>
    <xf numFmtId="0" fontId="3" fillId="4" borderId="9" xfId="26" applyFont="1" applyFill="1" applyBorder="1" applyAlignment="1">
      <alignment wrapText="1"/>
    </xf>
    <xf numFmtId="0" fontId="3" fillId="4" borderId="10" xfId="26" applyFont="1" applyFill="1" applyBorder="1" applyAlignment="1">
      <alignment horizontal="center" vertical="center" wrapText="1"/>
    </xf>
    <xf numFmtId="4" fontId="3" fillId="4" borderId="10" xfId="26" applyNumberFormat="1" applyFont="1" applyFill="1" applyBorder="1" applyAlignment="1">
      <alignment horizontal="center" vertical="center"/>
    </xf>
    <xf numFmtId="4" fontId="3" fillId="4" borderId="11" xfId="26" applyNumberFormat="1" applyFont="1" applyFill="1" applyBorder="1" applyAlignment="1">
      <alignment horizontal="center" vertical="center"/>
    </xf>
    <xf numFmtId="0" fontId="3" fillId="0" borderId="0" xfId="26" applyFont="1"/>
    <xf numFmtId="0" fontId="4" fillId="0" borderId="19" xfId="26" applyFont="1" applyBorder="1"/>
    <xf numFmtId="0" fontId="3" fillId="0" borderId="19" xfId="26" applyFont="1" applyBorder="1"/>
    <xf numFmtId="0" fontId="6" fillId="0" borderId="0" xfId="26" applyFont="1"/>
    <xf numFmtId="0" fontId="5" fillId="0" borderId="0" xfId="26" applyFont="1"/>
    <xf numFmtId="0" fontId="0" fillId="0" borderId="1" xfId="0" applyFill="1" applyBorder="1"/>
    <xf numFmtId="4" fontId="6" fillId="0" borderId="1" xfId="0" applyNumberFormat="1" applyFont="1" applyFill="1" applyBorder="1"/>
    <xf numFmtId="0" fontId="6" fillId="5" borderId="1" xfId="26" applyFont="1" applyFill="1" applyBorder="1" applyAlignment="1">
      <alignment wrapText="1"/>
    </xf>
    <xf numFmtId="0" fontId="6" fillId="5" borderId="1" xfId="26" applyFont="1" applyFill="1" applyBorder="1" applyAlignment="1">
      <alignment horizontal="right"/>
    </xf>
    <xf numFmtId="0" fontId="6" fillId="3" borderId="1" xfId="26" applyFont="1" applyFill="1" applyBorder="1" applyAlignment="1">
      <alignment horizontal="right"/>
    </xf>
    <xf numFmtId="0" fontId="3" fillId="3" borderId="1" xfId="26" applyFont="1" applyFill="1" applyBorder="1" applyAlignment="1">
      <alignment horizontal="right"/>
    </xf>
    <xf numFmtId="4" fontId="0" fillId="0" borderId="1" xfId="0" applyNumberFormat="1" applyBorder="1"/>
    <xf numFmtId="0" fontId="0" fillId="0" borderId="0" xfId="0" applyFill="1"/>
    <xf numFmtId="4" fontId="6" fillId="0" borderId="0" xfId="0" applyNumberFormat="1" applyFont="1" applyFill="1"/>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 fontId="4" fillId="0" borderId="1" xfId="0" applyNumberFormat="1" applyFont="1" applyFill="1" applyBorder="1" applyAlignment="1">
      <alignment horizontal="center" vertical="center"/>
    </xf>
    <xf numFmtId="4" fontId="5" fillId="0" borderId="1" xfId="0" applyNumberFormat="1" applyFont="1" applyFill="1" applyBorder="1"/>
    <xf numFmtId="4" fontId="0" fillId="0" borderId="1" xfId="0" applyNumberFormat="1" applyFill="1" applyBorder="1"/>
    <xf numFmtId="0" fontId="16" fillId="0" borderId="1" xfId="0" applyFont="1" applyBorder="1" applyAlignment="1">
      <alignment horizontal="center"/>
    </xf>
    <xf numFmtId="4" fontId="17" fillId="0" borderId="1" xfId="0" applyNumberFormat="1" applyFont="1" applyFill="1" applyBorder="1" applyAlignment="1">
      <alignment horizontal="center"/>
    </xf>
    <xf numFmtId="0" fontId="16" fillId="0" borderId="1" xfId="0" applyFont="1" applyFill="1" applyBorder="1" applyAlignment="1">
      <alignment horizontal="center"/>
    </xf>
    <xf numFmtId="0" fontId="3" fillId="10" borderId="1" xfId="0" applyFont="1" applyFill="1" applyBorder="1" applyAlignment="1">
      <alignment horizontal="center"/>
    </xf>
    <xf numFmtId="2" fontId="5" fillId="0" borderId="1" xfId="0" applyNumberFormat="1" applyFont="1" applyFill="1" applyBorder="1" applyAlignment="1">
      <alignment horizontal="center"/>
    </xf>
    <xf numFmtId="4" fontId="5" fillId="0" borderId="1" xfId="0" applyNumberFormat="1" applyFont="1" applyFill="1" applyBorder="1" applyAlignment="1">
      <alignment horizontal="center"/>
    </xf>
    <xf numFmtId="0" fontId="4" fillId="12" borderId="1" xfId="0" applyFont="1" applyFill="1" applyBorder="1" applyAlignment="1">
      <alignment wrapText="1"/>
    </xf>
    <xf numFmtId="0" fontId="4" fillId="12" borderId="1" xfId="0" applyFont="1" applyFill="1" applyBorder="1"/>
    <xf numFmtId="4" fontId="4" fillId="0" borderId="1" xfId="0" applyNumberFormat="1" applyFont="1" applyFill="1" applyBorder="1" applyAlignment="1">
      <alignment horizontal="center"/>
    </xf>
    <xf numFmtId="4" fontId="19" fillId="0" borderId="1" xfId="0" applyNumberFormat="1" applyFont="1" applyFill="1" applyBorder="1"/>
    <xf numFmtId="0" fontId="0" fillId="0" borderId="1" xfId="0" applyBorder="1" applyAlignment="1">
      <alignment horizontal="left" wrapText="1"/>
    </xf>
    <xf numFmtId="4" fontId="19" fillId="0" borderId="1" xfId="0" applyNumberFormat="1" applyFont="1" applyBorder="1"/>
    <xf numFmtId="0" fontId="20" fillId="0" borderId="0" xfId="0" applyFont="1" applyAlignment="1">
      <alignment horizontal="left"/>
    </xf>
    <xf numFmtId="4" fontId="20" fillId="0" borderId="0" xfId="0" applyNumberFormat="1" applyFont="1"/>
    <xf numFmtId="0" fontId="20" fillId="0" borderId="0" xfId="0" applyFont="1"/>
    <xf numFmtId="3" fontId="2" fillId="0" borderId="0" xfId="26" applyNumberFormat="1"/>
    <xf numFmtId="4" fontId="2" fillId="0" borderId="0" xfId="26" applyNumberFormat="1"/>
    <xf numFmtId="0" fontId="24" fillId="0" borderId="0" xfId="30"/>
    <xf numFmtId="166" fontId="24" fillId="0" borderId="0" xfId="30" applyNumberFormat="1"/>
    <xf numFmtId="0" fontId="25" fillId="0" borderId="0" xfId="32">
      <alignment horizontal="center"/>
    </xf>
    <xf numFmtId="0" fontId="21" fillId="0" borderId="43" xfId="31"/>
    <xf numFmtId="0" fontId="21" fillId="0" borderId="42" xfId="27"/>
    <xf numFmtId="0" fontId="21" fillId="0" borderId="0" xfId="35" applyFont="1" applyAlignment="1">
      <alignment horizontal="right" wrapText="1"/>
    </xf>
    <xf numFmtId="165" fontId="21" fillId="0" borderId="0" xfId="36" applyFont="1" applyAlignment="1">
      <alignment horizontal="right" wrapText="1"/>
    </xf>
    <xf numFmtId="0" fontId="21" fillId="0" borderId="45" xfId="34"/>
    <xf numFmtId="0" fontId="21" fillId="0" borderId="0" xfId="37" applyAlignment="1">
      <alignment horizontal="left" indent="1"/>
    </xf>
    <xf numFmtId="3" fontId="21" fillId="0" borderId="0" xfId="39"/>
    <xf numFmtId="0" fontId="21" fillId="0" borderId="0" xfId="37" applyFont="1" applyAlignment="1">
      <alignment horizontal="left" indent="1"/>
    </xf>
    <xf numFmtId="0" fontId="21" fillId="0" borderId="0" xfId="35" applyFont="1" applyAlignment="1">
      <alignment horizontal="right" wrapText="1" shrinkToFit="1"/>
    </xf>
    <xf numFmtId="165" fontId="21" fillId="0" borderId="0" xfId="36" applyFont="1" applyAlignment="1">
      <alignment horizontal="right" wrapText="1" shrinkToFit="1"/>
    </xf>
    <xf numFmtId="0" fontId="3" fillId="0" borderId="0" xfId="42" applyFont="1"/>
    <xf numFmtId="0" fontId="1" fillId="0" borderId="0" xfId="42"/>
    <xf numFmtId="0" fontId="4" fillId="0" borderId="1" xfId="42" applyFont="1" applyBorder="1" applyAlignment="1">
      <alignment vertical="center"/>
    </xf>
    <xf numFmtId="0" fontId="4" fillId="0" borderId="6" xfId="42" applyFont="1" applyBorder="1" applyAlignment="1">
      <alignment vertical="center"/>
    </xf>
    <xf numFmtId="0" fontId="4" fillId="0" borderId="6" xfId="42" applyFont="1" applyBorder="1" applyAlignment="1">
      <alignment horizontal="center" vertical="center"/>
    </xf>
    <xf numFmtId="0" fontId="4" fillId="0" borderId="6" xfId="42" applyFont="1" applyBorder="1" applyAlignment="1">
      <alignment horizontal="center" vertical="center" wrapText="1"/>
    </xf>
    <xf numFmtId="0" fontId="4" fillId="2" borderId="2" xfId="42" applyFont="1" applyFill="1" applyBorder="1" applyAlignment="1">
      <alignment vertical="center"/>
    </xf>
    <xf numFmtId="0" fontId="4" fillId="2" borderId="3" xfId="42" applyFont="1" applyFill="1" applyBorder="1" applyAlignment="1">
      <alignment vertical="center"/>
    </xf>
    <xf numFmtId="0" fontId="4" fillId="2" borderId="4" xfId="42" applyFont="1" applyFill="1" applyBorder="1" applyAlignment="1">
      <alignment horizontal="center" vertical="center"/>
    </xf>
    <xf numFmtId="2" fontId="4" fillId="2" borderId="4" xfId="42" applyNumberFormat="1" applyFont="1" applyFill="1" applyBorder="1" applyAlignment="1">
      <alignment horizontal="center" vertical="center"/>
    </xf>
    <xf numFmtId="2" fontId="4" fillId="2" borderId="5" xfId="42" applyNumberFormat="1" applyFont="1" applyFill="1" applyBorder="1" applyAlignment="1">
      <alignment horizontal="center" vertical="center"/>
    </xf>
    <xf numFmtId="0" fontId="3" fillId="2" borderId="16" xfId="42" applyFont="1" applyFill="1" applyBorder="1" applyAlignment="1">
      <alignment wrapText="1"/>
    </xf>
    <xf numFmtId="4" fontId="3" fillId="2" borderId="17" xfId="42" applyNumberFormat="1" applyFont="1" applyFill="1" applyBorder="1" applyAlignment="1">
      <alignment horizontal="center"/>
    </xf>
    <xf numFmtId="4" fontId="3" fillId="2" borderId="17" xfId="42" applyNumberFormat="1" applyFont="1" applyFill="1" applyBorder="1" applyAlignment="1">
      <alignment horizontal="center" wrapText="1"/>
    </xf>
    <xf numFmtId="4" fontId="3" fillId="2" borderId="18" xfId="42" applyNumberFormat="1" applyFont="1" applyFill="1" applyBorder="1" applyAlignment="1">
      <alignment horizontal="center"/>
    </xf>
    <xf numFmtId="0" fontId="3" fillId="2" borderId="8" xfId="42" applyFont="1" applyFill="1" applyBorder="1"/>
    <xf numFmtId="4" fontId="3" fillId="2" borderId="1" xfId="42" applyNumberFormat="1" applyFont="1" applyFill="1" applyBorder="1" applyAlignment="1">
      <alignment horizontal="center"/>
    </xf>
    <xf numFmtId="3" fontId="3" fillId="2" borderId="1" xfId="42" applyNumberFormat="1" applyFont="1" applyFill="1" applyBorder="1" applyAlignment="1">
      <alignment horizontal="center"/>
    </xf>
    <xf numFmtId="4" fontId="3" fillId="2" borderId="7" xfId="42" applyNumberFormat="1" applyFont="1" applyFill="1" applyBorder="1" applyAlignment="1">
      <alignment horizontal="center"/>
    </xf>
    <xf numFmtId="0" fontId="3" fillId="2" borderId="8" xfId="42" applyFont="1" applyFill="1" applyBorder="1" applyAlignment="1">
      <alignment horizontal="right"/>
    </xf>
    <xf numFmtId="167" fontId="3" fillId="2" borderId="1" xfId="42" applyNumberFormat="1" applyFont="1" applyFill="1" applyBorder="1" applyAlignment="1">
      <alignment horizontal="center"/>
    </xf>
    <xf numFmtId="2" fontId="1" fillId="0" borderId="0" xfId="42" applyNumberFormat="1"/>
    <xf numFmtId="4" fontId="1" fillId="0" borderId="0" xfId="42" applyNumberFormat="1"/>
    <xf numFmtId="3" fontId="1" fillId="0" borderId="0" xfId="42" applyNumberFormat="1"/>
    <xf numFmtId="0" fontId="3" fillId="2" borderId="8" xfId="42" applyFont="1" applyFill="1" applyBorder="1" applyAlignment="1">
      <alignment horizontal="right" wrapText="1"/>
    </xf>
    <xf numFmtId="0" fontId="3" fillId="2" borderId="12" xfId="42" applyFont="1" applyFill="1" applyBorder="1" applyAlignment="1">
      <alignment horizontal="center" wrapText="1"/>
    </xf>
    <xf numFmtId="0" fontId="3" fillId="2" borderId="9" xfId="42" applyFont="1" applyFill="1" applyBorder="1"/>
    <xf numFmtId="0" fontId="3" fillId="2" borderId="10" xfId="42" applyFont="1" applyFill="1" applyBorder="1" applyAlignment="1">
      <alignment horizontal="center"/>
    </xf>
    <xf numFmtId="164" fontId="3" fillId="2" borderId="10" xfId="42" applyNumberFormat="1" applyFont="1" applyFill="1" applyBorder="1" applyAlignment="1">
      <alignment horizontal="center"/>
    </xf>
    <xf numFmtId="4" fontId="3" fillId="2" borderId="11" xfId="42" applyNumberFormat="1" applyFont="1" applyFill="1" applyBorder="1" applyAlignment="1">
      <alignment horizontal="center"/>
    </xf>
    <xf numFmtId="0" fontId="5" fillId="3" borderId="2" xfId="42" applyFont="1" applyFill="1" applyBorder="1"/>
    <xf numFmtId="0" fontId="5" fillId="3" borderId="3" xfId="42" applyFont="1" applyFill="1" applyBorder="1" applyAlignment="1">
      <alignment wrapText="1"/>
    </xf>
    <xf numFmtId="0" fontId="5" fillId="3" borderId="4" xfId="42" applyFont="1" applyFill="1" applyBorder="1" applyAlignment="1">
      <alignment horizontal="center"/>
    </xf>
    <xf numFmtId="2" fontId="5" fillId="3" borderId="4" xfId="42" applyNumberFormat="1" applyFont="1" applyFill="1" applyBorder="1" applyAlignment="1">
      <alignment horizontal="center"/>
    </xf>
    <xf numFmtId="2" fontId="5" fillId="3" borderId="5" xfId="42" applyNumberFormat="1" applyFont="1" applyFill="1" applyBorder="1" applyAlignment="1">
      <alignment horizontal="center"/>
    </xf>
    <xf numFmtId="0" fontId="6" fillId="5" borderId="16" xfId="42" applyFont="1" applyFill="1" applyBorder="1" applyAlignment="1">
      <alignment wrapText="1"/>
    </xf>
    <xf numFmtId="0" fontId="6" fillId="5" borderId="17" xfId="42" applyFont="1" applyFill="1" applyBorder="1" applyAlignment="1">
      <alignment vertical="center" wrapText="1"/>
    </xf>
    <xf numFmtId="2" fontId="6" fillId="5" borderId="17" xfId="42" applyNumberFormat="1" applyFont="1" applyFill="1" applyBorder="1" applyAlignment="1">
      <alignment horizontal="center" vertical="center"/>
    </xf>
    <xf numFmtId="2" fontId="6" fillId="3" borderId="17" xfId="42" applyNumberFormat="1" applyFont="1" applyFill="1" applyBorder="1" applyAlignment="1">
      <alignment horizontal="center" vertical="center"/>
    </xf>
    <xf numFmtId="2" fontId="6" fillId="5" borderId="18" xfId="42" applyNumberFormat="1" applyFont="1" applyFill="1" applyBorder="1" applyAlignment="1">
      <alignment horizontal="center" vertical="center"/>
    </xf>
    <xf numFmtId="0" fontId="6" fillId="5" borderId="8" xfId="42" applyFont="1" applyFill="1" applyBorder="1" applyAlignment="1">
      <alignment horizontal="right"/>
    </xf>
    <xf numFmtId="0" fontId="6" fillId="5" borderId="1" xfId="42" applyFont="1" applyFill="1" applyBorder="1" applyAlignment="1">
      <alignment vertical="center" wrapText="1"/>
    </xf>
    <xf numFmtId="2" fontId="6" fillId="5" borderId="14" xfId="42" applyNumberFormat="1" applyFont="1" applyFill="1" applyBorder="1" applyAlignment="1">
      <alignment horizontal="center" vertical="center"/>
    </xf>
    <xf numFmtId="1" fontId="6" fillId="3" borderId="14" xfId="42" applyNumberFormat="1" applyFont="1" applyFill="1" applyBorder="1" applyAlignment="1">
      <alignment horizontal="center" vertical="center"/>
    </xf>
    <xf numFmtId="2" fontId="6" fillId="5" borderId="15" xfId="42" applyNumberFormat="1" applyFont="1" applyFill="1" applyBorder="1" applyAlignment="1">
      <alignment horizontal="center" vertical="center"/>
    </xf>
    <xf numFmtId="0" fontId="6" fillId="3" borderId="8" xfId="42" applyFont="1" applyFill="1" applyBorder="1" applyAlignment="1">
      <alignment horizontal="right"/>
    </xf>
    <xf numFmtId="0" fontId="6" fillId="3" borderId="1" xfId="42" applyFont="1" applyFill="1" applyBorder="1" applyAlignment="1">
      <alignment vertical="center" wrapText="1"/>
    </xf>
    <xf numFmtId="2" fontId="6" fillId="5" borderId="28" xfId="42" applyNumberFormat="1" applyFont="1" applyFill="1" applyBorder="1" applyAlignment="1">
      <alignment horizontal="center" vertical="center"/>
    </xf>
    <xf numFmtId="2" fontId="6" fillId="3" borderId="15" xfId="42" applyNumberFormat="1" applyFont="1" applyFill="1" applyBorder="1" applyAlignment="1">
      <alignment horizontal="center" vertical="center"/>
    </xf>
    <xf numFmtId="2" fontId="6" fillId="3" borderId="14" xfId="42" applyNumberFormat="1" applyFont="1" applyFill="1" applyBorder="1" applyAlignment="1">
      <alignment horizontal="center" vertical="center"/>
    </xf>
    <xf numFmtId="0" fontId="3" fillId="3" borderId="9" xfId="42" applyFont="1" applyFill="1" applyBorder="1" applyAlignment="1">
      <alignment horizontal="right"/>
    </xf>
    <xf numFmtId="0" fontId="6" fillId="3" borderId="10" xfId="42" applyFont="1" applyFill="1" applyBorder="1" applyAlignment="1">
      <alignment vertical="center" wrapText="1"/>
    </xf>
    <xf numFmtId="0" fontId="3" fillId="3" borderId="10" xfId="42" applyFont="1" applyFill="1" applyBorder="1" applyAlignment="1">
      <alignment horizontal="center" vertical="center"/>
    </xf>
    <xf numFmtId="2" fontId="6" fillId="3" borderId="11" xfId="42" applyNumberFormat="1" applyFont="1" applyFill="1" applyBorder="1" applyAlignment="1">
      <alignment horizontal="center" vertical="center"/>
    </xf>
    <xf numFmtId="0" fontId="6" fillId="5" borderId="41" xfId="42" applyFont="1" applyFill="1" applyBorder="1" applyAlignment="1">
      <alignment wrapText="1"/>
    </xf>
    <xf numFmtId="0" fontId="6" fillId="5" borderId="27" xfId="42" applyFont="1" applyFill="1" applyBorder="1" applyAlignment="1">
      <alignment horizontal="right"/>
    </xf>
    <xf numFmtId="2" fontId="6" fillId="5" borderId="30" xfId="42" applyNumberFormat="1" applyFont="1" applyFill="1" applyBorder="1" applyAlignment="1">
      <alignment horizontal="center" vertical="center"/>
    </xf>
    <xf numFmtId="2" fontId="6" fillId="5" borderId="1" xfId="42" applyNumberFormat="1" applyFont="1" applyFill="1" applyBorder="1" applyAlignment="1">
      <alignment horizontal="center" vertical="center"/>
    </xf>
    <xf numFmtId="2" fontId="6" fillId="3" borderId="1" xfId="42" applyNumberFormat="1" applyFont="1" applyFill="1" applyBorder="1" applyAlignment="1">
      <alignment horizontal="center" vertical="center"/>
    </xf>
    <xf numFmtId="2" fontId="6" fillId="5" borderId="7" xfId="42" applyNumberFormat="1" applyFont="1" applyFill="1" applyBorder="1" applyAlignment="1">
      <alignment horizontal="center" vertical="center"/>
    </xf>
    <xf numFmtId="0" fontId="4" fillId="4" borderId="12" xfId="42" applyFont="1" applyFill="1" applyBorder="1"/>
    <xf numFmtId="0" fontId="4" fillId="4" borderId="16" xfId="42" applyFont="1" applyFill="1" applyBorder="1"/>
    <xf numFmtId="0" fontId="4" fillId="4" borderId="17" xfId="42" applyFont="1" applyFill="1" applyBorder="1"/>
    <xf numFmtId="4" fontId="4" fillId="4" borderId="17" xfId="42" applyNumberFormat="1" applyFont="1" applyFill="1" applyBorder="1" applyAlignment="1">
      <alignment horizontal="center"/>
    </xf>
    <xf numFmtId="4" fontId="4" fillId="4" borderId="18" xfId="42" applyNumberFormat="1" applyFont="1" applyFill="1" applyBorder="1" applyAlignment="1">
      <alignment horizontal="center"/>
    </xf>
    <xf numFmtId="4" fontId="3" fillId="0" borderId="0" xfId="42" applyNumberFormat="1" applyFont="1"/>
    <xf numFmtId="0" fontId="3" fillId="4" borderId="8" xfId="42" applyFont="1" applyFill="1" applyBorder="1" applyAlignment="1">
      <alignment wrapText="1"/>
    </xf>
    <xf numFmtId="0" fontId="3" fillId="4" borderId="1" xfId="42" applyFont="1" applyFill="1" applyBorder="1" applyAlignment="1">
      <alignment horizontal="center" vertical="center" wrapText="1"/>
    </xf>
    <xf numFmtId="4" fontId="3" fillId="4" borderId="1" xfId="42" applyNumberFormat="1" applyFont="1" applyFill="1" applyBorder="1" applyAlignment="1">
      <alignment horizontal="center" vertical="center"/>
    </xf>
    <xf numFmtId="4" fontId="3" fillId="4" borderId="0" xfId="42" applyNumberFormat="1" applyFont="1" applyFill="1" applyAlignment="1">
      <alignment horizontal="center" vertical="center"/>
    </xf>
    <xf numFmtId="4" fontId="3" fillId="4" borderId="7" xfId="42" applyNumberFormat="1" applyFont="1" applyFill="1" applyBorder="1" applyAlignment="1">
      <alignment horizontal="center" vertical="center"/>
    </xf>
    <xf numFmtId="0" fontId="3" fillId="4" borderId="9" xfId="42" applyFont="1" applyFill="1" applyBorder="1" applyAlignment="1">
      <alignment wrapText="1"/>
    </xf>
    <xf numFmtId="0" fontId="3" fillId="4" borderId="10" xfId="42" applyFont="1" applyFill="1" applyBorder="1" applyAlignment="1">
      <alignment horizontal="center" vertical="center" wrapText="1"/>
    </xf>
    <xf numFmtId="4" fontId="3" fillId="4" borderId="10" xfId="42" applyNumberFormat="1" applyFont="1" applyFill="1" applyBorder="1" applyAlignment="1">
      <alignment horizontal="center" vertical="center"/>
    </xf>
    <xf numFmtId="4" fontId="3" fillId="4" borderId="11" xfId="42" applyNumberFormat="1" applyFont="1" applyFill="1" applyBorder="1" applyAlignment="1">
      <alignment horizontal="center" vertical="center"/>
    </xf>
    <xf numFmtId="0" fontId="4" fillId="0" borderId="19" xfId="42" applyFont="1" applyBorder="1"/>
    <xf numFmtId="0" fontId="3" fillId="0" borderId="19" xfId="42" applyFont="1" applyBorder="1"/>
    <xf numFmtId="0" fontId="6" fillId="0" borderId="0" xfId="42" applyFont="1"/>
    <xf numFmtId="0" fontId="5" fillId="0" borderId="0" xfId="42" applyFont="1"/>
    <xf numFmtId="167" fontId="1" fillId="0" borderId="0" xfId="42" applyNumberFormat="1"/>
    <xf numFmtId="1" fontId="3" fillId="3" borderId="10" xfId="42" applyNumberFormat="1" applyFont="1" applyFill="1" applyBorder="1" applyAlignment="1">
      <alignment horizontal="center" vertical="center"/>
    </xf>
    <xf numFmtId="0" fontId="1" fillId="0" borderId="0" xfId="43"/>
    <xf numFmtId="0" fontId="4" fillId="0" borderId="1" xfId="43" applyFont="1" applyBorder="1" applyAlignment="1">
      <alignment vertical="center"/>
    </xf>
    <xf numFmtId="0" fontId="4" fillId="0" borderId="6" xfId="43" applyFont="1" applyBorder="1" applyAlignment="1">
      <alignment vertical="center"/>
    </xf>
    <xf numFmtId="0" fontId="4" fillId="0" borderId="6" xfId="43" applyFont="1" applyBorder="1" applyAlignment="1">
      <alignment horizontal="center" vertical="center"/>
    </xf>
    <xf numFmtId="0" fontId="4" fillId="0" borderId="6" xfId="43" applyFont="1" applyBorder="1" applyAlignment="1">
      <alignment horizontal="center" vertical="center" wrapText="1"/>
    </xf>
    <xf numFmtId="0" fontId="4" fillId="2" borderId="2" xfId="43" applyFont="1" applyFill="1" applyBorder="1" applyAlignment="1">
      <alignment vertical="center"/>
    </xf>
    <xf numFmtId="0" fontId="4" fillId="2" borderId="3" xfId="43" applyFont="1" applyFill="1" applyBorder="1" applyAlignment="1">
      <alignment vertical="center"/>
    </xf>
    <xf numFmtId="0" fontId="4" fillId="2" borderId="4" xfId="43" applyFont="1" applyFill="1" applyBorder="1" applyAlignment="1">
      <alignment horizontal="center" vertical="center"/>
    </xf>
    <xf numFmtId="2" fontId="4" fillId="2" borderId="4" xfId="43" applyNumberFormat="1" applyFont="1" applyFill="1" applyBorder="1" applyAlignment="1">
      <alignment horizontal="center" vertical="center"/>
    </xf>
    <xf numFmtId="2" fontId="4" fillId="2" borderId="5" xfId="43" applyNumberFormat="1" applyFont="1" applyFill="1" applyBorder="1" applyAlignment="1">
      <alignment horizontal="center" vertical="center"/>
    </xf>
    <xf numFmtId="0" fontId="3" fillId="2" borderId="16" xfId="43" applyFont="1" applyFill="1" applyBorder="1" applyAlignment="1">
      <alignment wrapText="1"/>
    </xf>
    <xf numFmtId="4" fontId="3" fillId="2" borderId="17" xfId="43" applyNumberFormat="1" applyFont="1" applyFill="1" applyBorder="1" applyAlignment="1">
      <alignment horizontal="center"/>
    </xf>
    <xf numFmtId="4" fontId="3" fillId="2" borderId="17" xfId="43" applyNumberFormat="1" applyFont="1" applyFill="1" applyBorder="1" applyAlignment="1">
      <alignment horizontal="center" wrapText="1"/>
    </xf>
    <xf numFmtId="4" fontId="3" fillId="2" borderId="18" xfId="43" applyNumberFormat="1" applyFont="1" applyFill="1" applyBorder="1" applyAlignment="1">
      <alignment horizontal="center"/>
    </xf>
    <xf numFmtId="0" fontId="3" fillId="2" borderId="8" xfId="43" applyFont="1" applyFill="1" applyBorder="1"/>
    <xf numFmtId="4" fontId="3" fillId="2" borderId="1" xfId="43" applyNumberFormat="1" applyFont="1" applyFill="1" applyBorder="1" applyAlignment="1">
      <alignment horizontal="center"/>
    </xf>
    <xf numFmtId="4" fontId="3" fillId="2" borderId="7" xfId="43" applyNumberFormat="1" applyFont="1" applyFill="1" applyBorder="1" applyAlignment="1">
      <alignment horizontal="center"/>
    </xf>
    <xf numFmtId="0" fontId="3" fillId="2" borderId="8" xfId="43" applyFont="1" applyFill="1" applyBorder="1" applyAlignment="1">
      <alignment horizontal="right"/>
    </xf>
    <xf numFmtId="167" fontId="3" fillId="2" borderId="1" xfId="43" applyNumberFormat="1" applyFont="1" applyFill="1" applyBorder="1" applyAlignment="1">
      <alignment horizontal="center"/>
    </xf>
    <xf numFmtId="2" fontId="1" fillId="0" borderId="0" xfId="43" applyNumberFormat="1"/>
    <xf numFmtId="3" fontId="1" fillId="0" borderId="0" xfId="43" applyNumberFormat="1"/>
    <xf numFmtId="0" fontId="3" fillId="2" borderId="8" xfId="43" applyFont="1" applyFill="1" applyBorder="1" applyAlignment="1">
      <alignment horizontal="right" wrapText="1"/>
    </xf>
    <xf numFmtId="0" fontId="3" fillId="2" borderId="12" xfId="43" applyFont="1" applyFill="1" applyBorder="1" applyAlignment="1">
      <alignment horizontal="center" wrapText="1"/>
    </xf>
    <xf numFmtId="0" fontId="3" fillId="2" borderId="9" xfId="43" applyFont="1" applyFill="1" applyBorder="1"/>
    <xf numFmtId="0" fontId="3" fillId="2" borderId="10" xfId="43" applyFont="1" applyFill="1" applyBorder="1" applyAlignment="1">
      <alignment horizontal="center"/>
    </xf>
    <xf numFmtId="164" fontId="3" fillId="2" borderId="10" xfId="43" applyNumberFormat="1" applyFont="1" applyFill="1" applyBorder="1" applyAlignment="1">
      <alignment horizontal="center"/>
    </xf>
    <xf numFmtId="4" fontId="3" fillId="2" borderId="11" xfId="43" applyNumberFormat="1" applyFont="1" applyFill="1" applyBorder="1" applyAlignment="1">
      <alignment horizontal="center"/>
    </xf>
    <xf numFmtId="0" fontId="5" fillId="3" borderId="2" xfId="43" applyFont="1" applyFill="1" applyBorder="1"/>
    <xf numFmtId="0" fontId="5" fillId="3" borderId="3" xfId="43" applyFont="1" applyFill="1" applyBorder="1" applyAlignment="1">
      <alignment wrapText="1"/>
    </xf>
    <xf numFmtId="0" fontId="5" fillId="3" borderId="4" xfId="43" applyFont="1" applyFill="1" applyBorder="1" applyAlignment="1">
      <alignment horizontal="center"/>
    </xf>
    <xf numFmtId="2" fontId="5" fillId="3" borderId="4" xfId="43" applyNumberFormat="1" applyFont="1" applyFill="1" applyBorder="1" applyAlignment="1">
      <alignment horizontal="center"/>
    </xf>
    <xf numFmtId="2" fontId="5" fillId="3" borderId="5" xfId="43" applyNumberFormat="1" applyFont="1" applyFill="1" applyBorder="1" applyAlignment="1">
      <alignment horizontal="center"/>
    </xf>
    <xf numFmtId="0" fontId="6" fillId="5" borderId="16" xfId="43" applyFont="1" applyFill="1" applyBorder="1" applyAlignment="1">
      <alignment wrapText="1"/>
    </xf>
    <xf numFmtId="0" fontId="6" fillId="5" borderId="17" xfId="43" applyFont="1" applyFill="1" applyBorder="1" applyAlignment="1">
      <alignment vertical="center" wrapText="1"/>
    </xf>
    <xf numFmtId="2" fontId="6" fillId="5" borderId="17" xfId="43" applyNumberFormat="1" applyFont="1" applyFill="1" applyBorder="1" applyAlignment="1">
      <alignment horizontal="center" vertical="center"/>
    </xf>
    <xf numFmtId="2" fontId="6" fillId="3" borderId="17" xfId="43" applyNumberFormat="1" applyFont="1" applyFill="1" applyBorder="1" applyAlignment="1">
      <alignment horizontal="center" vertical="center"/>
    </xf>
    <xf numFmtId="2" fontId="6" fillId="5" borderId="18" xfId="43" applyNumberFormat="1" applyFont="1" applyFill="1" applyBorder="1" applyAlignment="1">
      <alignment horizontal="center" vertical="center"/>
    </xf>
    <xf numFmtId="0" fontId="6" fillId="5" borderId="8" xfId="43" applyFont="1" applyFill="1" applyBorder="1" applyAlignment="1">
      <alignment horizontal="right"/>
    </xf>
    <xf numFmtId="0" fontId="6" fillId="5" borderId="1" xfId="43" applyFont="1" applyFill="1" applyBorder="1" applyAlignment="1">
      <alignment vertical="center" wrapText="1"/>
    </xf>
    <xf numFmtId="2" fontId="6" fillId="5" borderId="14" xfId="43" applyNumberFormat="1" applyFont="1" applyFill="1" applyBorder="1" applyAlignment="1">
      <alignment horizontal="center" vertical="center"/>
    </xf>
    <xf numFmtId="1" fontId="6" fillId="3" borderId="14" xfId="43" applyNumberFormat="1" applyFont="1" applyFill="1" applyBorder="1" applyAlignment="1">
      <alignment horizontal="center" vertical="center"/>
    </xf>
    <xf numFmtId="2" fontId="6" fillId="5" borderId="15" xfId="43" applyNumberFormat="1" applyFont="1" applyFill="1" applyBorder="1" applyAlignment="1">
      <alignment horizontal="center" vertical="center"/>
    </xf>
    <xf numFmtId="0" fontId="6" fillId="5" borderId="41" xfId="43" applyFont="1" applyFill="1" applyBorder="1" applyAlignment="1">
      <alignment wrapText="1"/>
    </xf>
    <xf numFmtId="2" fontId="6" fillId="5" borderId="28" xfId="43" applyNumberFormat="1" applyFont="1" applyFill="1" applyBorder="1" applyAlignment="1">
      <alignment horizontal="center" vertical="center"/>
    </xf>
    <xf numFmtId="2" fontId="6" fillId="3" borderId="14" xfId="43" applyNumberFormat="1" applyFont="1" applyFill="1" applyBorder="1" applyAlignment="1">
      <alignment horizontal="center" vertical="center"/>
    </xf>
    <xf numFmtId="0" fontId="4" fillId="4" borderId="12" xfId="43" applyFont="1" applyFill="1" applyBorder="1"/>
    <xf numFmtId="0" fontId="4" fillId="4" borderId="16" xfId="43" applyFont="1" applyFill="1" applyBorder="1"/>
    <xf numFmtId="0" fontId="4" fillId="4" borderId="17" xfId="43" applyFont="1" applyFill="1" applyBorder="1"/>
    <xf numFmtId="4" fontId="4" fillId="4" borderId="17" xfId="43" applyNumberFormat="1" applyFont="1" applyFill="1" applyBorder="1" applyAlignment="1">
      <alignment horizontal="center"/>
    </xf>
    <xf numFmtId="4" fontId="4" fillId="4" borderId="18" xfId="43" applyNumberFormat="1" applyFont="1" applyFill="1" applyBorder="1" applyAlignment="1">
      <alignment horizontal="center"/>
    </xf>
    <xf numFmtId="4" fontId="1" fillId="0" borderId="0" xfId="43" applyNumberFormat="1"/>
    <xf numFmtId="0" fontId="3" fillId="4" borderId="8" xfId="43" applyFont="1" applyFill="1" applyBorder="1" applyAlignment="1">
      <alignment wrapText="1"/>
    </xf>
    <xf numFmtId="0" fontId="3" fillId="4" borderId="1" xfId="43" applyFont="1" applyFill="1" applyBorder="1" applyAlignment="1">
      <alignment horizontal="center" vertical="center" wrapText="1"/>
    </xf>
    <xf numFmtId="4" fontId="3" fillId="4" borderId="1" xfId="43" applyNumberFormat="1" applyFont="1" applyFill="1" applyBorder="1" applyAlignment="1">
      <alignment horizontal="center" vertical="center"/>
    </xf>
    <xf numFmtId="4" fontId="3" fillId="4" borderId="0" xfId="43" applyNumberFormat="1" applyFont="1" applyFill="1" applyAlignment="1">
      <alignment horizontal="center" vertical="center"/>
    </xf>
    <xf numFmtId="4" fontId="3" fillId="4" borderId="7" xfId="43" applyNumberFormat="1" applyFont="1" applyFill="1" applyBorder="1" applyAlignment="1">
      <alignment horizontal="center" vertical="center"/>
    </xf>
    <xf numFmtId="0" fontId="3" fillId="4" borderId="9" xfId="43" applyFont="1" applyFill="1" applyBorder="1" applyAlignment="1">
      <alignment wrapText="1"/>
    </xf>
    <xf numFmtId="0" fontId="3" fillId="4" borderId="10" xfId="43" applyFont="1" applyFill="1" applyBorder="1" applyAlignment="1">
      <alignment horizontal="center" vertical="center" wrapText="1"/>
    </xf>
    <xf numFmtId="4" fontId="3" fillId="4" borderId="10" xfId="43" applyNumberFormat="1" applyFont="1" applyFill="1" applyBorder="1" applyAlignment="1">
      <alignment horizontal="center" vertical="center"/>
    </xf>
    <xf numFmtId="4" fontId="3" fillId="4" borderId="11" xfId="43" applyNumberFormat="1" applyFont="1" applyFill="1" applyBorder="1" applyAlignment="1">
      <alignment horizontal="center" vertical="center"/>
    </xf>
    <xf numFmtId="0" fontId="3" fillId="0" borderId="0" xfId="43" applyFont="1"/>
    <xf numFmtId="0" fontId="4" fillId="0" borderId="19" xfId="43" applyFont="1" applyBorder="1"/>
    <xf numFmtId="0" fontId="3" fillId="0" borderId="19" xfId="43" applyFont="1" applyBorder="1"/>
    <xf numFmtId="0" fontId="6" fillId="0" borderId="0" xfId="43" applyFont="1"/>
    <xf numFmtId="0" fontId="5" fillId="0" borderId="0" xfId="43" applyFont="1"/>
    <xf numFmtId="0" fontId="3" fillId="2" borderId="13" xfId="43" applyFont="1" applyFill="1" applyBorder="1" applyAlignment="1">
      <alignment wrapText="1"/>
    </xf>
    <xf numFmtId="4" fontId="3" fillId="2" borderId="14" xfId="43" applyNumberFormat="1" applyFont="1" applyFill="1" applyBorder="1" applyAlignment="1">
      <alignment horizontal="center"/>
    </xf>
    <xf numFmtId="4" fontId="3" fillId="2" borderId="14" xfId="43" applyNumberFormat="1" applyFont="1" applyFill="1" applyBorder="1" applyAlignment="1">
      <alignment horizontal="center" wrapText="1"/>
    </xf>
    <xf numFmtId="3" fontId="3" fillId="2" borderId="1" xfId="43" applyNumberFormat="1" applyFont="1" applyFill="1" applyBorder="1" applyAlignment="1">
      <alignment horizontal="center"/>
    </xf>
    <xf numFmtId="2" fontId="3" fillId="2" borderId="1" xfId="43" applyNumberFormat="1" applyFont="1" applyFill="1" applyBorder="1" applyAlignment="1">
      <alignment horizontal="center"/>
    </xf>
    <xf numFmtId="2" fontId="3" fillId="2" borderId="7" xfId="43" applyNumberFormat="1" applyFont="1" applyFill="1" applyBorder="1" applyAlignment="1">
      <alignment horizontal="center"/>
    </xf>
    <xf numFmtId="168" fontId="3" fillId="2" borderId="10" xfId="43" applyNumberFormat="1" applyFont="1" applyFill="1" applyBorder="1" applyAlignment="1">
      <alignment horizontal="center"/>
    </xf>
    <xf numFmtId="2" fontId="3" fillId="2" borderId="11" xfId="43" applyNumberFormat="1" applyFont="1" applyFill="1" applyBorder="1" applyAlignment="1">
      <alignment horizontal="center"/>
    </xf>
    <xf numFmtId="0" fontId="6" fillId="5" borderId="13" xfId="43" applyFont="1" applyFill="1" applyBorder="1" applyAlignment="1">
      <alignment wrapText="1"/>
    </xf>
    <xf numFmtId="0" fontId="6" fillId="5" borderId="14" xfId="43" applyFont="1" applyFill="1" applyBorder="1" applyAlignment="1">
      <alignment vertical="center" wrapText="1"/>
    </xf>
    <xf numFmtId="2" fontId="6" fillId="5" borderId="14" xfId="43" applyNumberFormat="1" applyFont="1" applyFill="1" applyBorder="1" applyAlignment="1">
      <alignment horizontal="center"/>
    </xf>
    <xf numFmtId="2" fontId="6" fillId="5" borderId="15" xfId="43" applyNumberFormat="1" applyFont="1" applyFill="1" applyBorder="1" applyAlignment="1">
      <alignment horizontal="center"/>
    </xf>
    <xf numFmtId="1" fontId="6" fillId="5" borderId="14" xfId="43" applyNumberFormat="1" applyFont="1" applyFill="1" applyBorder="1" applyAlignment="1">
      <alignment horizontal="center"/>
    </xf>
    <xf numFmtId="2" fontId="6" fillId="5" borderId="1" xfId="43" applyNumberFormat="1" applyFont="1" applyFill="1" applyBorder="1" applyAlignment="1">
      <alignment horizontal="center"/>
    </xf>
    <xf numFmtId="1" fontId="6" fillId="5" borderId="1" xfId="43" applyNumberFormat="1" applyFont="1" applyFill="1" applyBorder="1" applyAlignment="1">
      <alignment horizontal="center"/>
    </xf>
    <xf numFmtId="2" fontId="6" fillId="5" borderId="7" xfId="43" applyNumberFormat="1" applyFont="1" applyFill="1" applyBorder="1" applyAlignment="1">
      <alignment horizontal="center"/>
    </xf>
    <xf numFmtId="0" fontId="6" fillId="5" borderId="8" xfId="43" applyFont="1" applyFill="1" applyBorder="1" applyAlignment="1">
      <alignment horizontal="left" wrapText="1"/>
    </xf>
    <xf numFmtId="0" fontId="6" fillId="5" borderId="8" xfId="43" applyFont="1" applyFill="1" applyBorder="1" applyAlignment="1">
      <alignment horizontal="right" wrapText="1"/>
    </xf>
    <xf numFmtId="2" fontId="6" fillId="5" borderId="17" xfId="43" applyNumberFormat="1" applyFont="1" applyFill="1" applyBorder="1" applyAlignment="1">
      <alignment horizontal="center"/>
    </xf>
    <xf numFmtId="2" fontId="6" fillId="5" borderId="18" xfId="43" applyNumberFormat="1" applyFont="1" applyFill="1" applyBorder="1" applyAlignment="1">
      <alignment horizontal="center"/>
    </xf>
    <xf numFmtId="4" fontId="3" fillId="4" borderId="1" xfId="43" applyNumberFormat="1" applyFont="1" applyFill="1" applyBorder="1" applyAlignment="1">
      <alignment horizontal="center"/>
    </xf>
    <xf numFmtId="4" fontId="3" fillId="4" borderId="0" xfId="43" applyNumberFormat="1" applyFont="1" applyFill="1" applyAlignment="1">
      <alignment horizontal="center"/>
    </xf>
    <xf numFmtId="0" fontId="3" fillId="4" borderId="7" xfId="43" applyFont="1" applyFill="1" applyBorder="1"/>
    <xf numFmtId="4" fontId="3" fillId="4" borderId="10" xfId="43" applyNumberFormat="1" applyFont="1" applyFill="1" applyBorder="1" applyAlignment="1">
      <alignment horizontal="center"/>
    </xf>
    <xf numFmtId="0" fontId="3" fillId="4" borderId="11" xfId="43" applyFont="1" applyFill="1" applyBorder="1"/>
    <xf numFmtId="0" fontId="4" fillId="0" borderId="16" xfId="43" applyFont="1" applyBorder="1" applyAlignment="1">
      <alignment vertical="center"/>
    </xf>
    <xf numFmtId="0" fontId="4" fillId="0" borderId="25" xfId="43" applyFont="1" applyBorder="1" applyAlignment="1">
      <alignment vertical="center"/>
    </xf>
    <xf numFmtId="0" fontId="4" fillId="0" borderId="25" xfId="43" applyFont="1" applyBorder="1" applyAlignment="1">
      <alignment horizontal="center" vertical="center"/>
    </xf>
    <xf numFmtId="0" fontId="4" fillId="0" borderId="25" xfId="43" applyFont="1" applyBorder="1" applyAlignment="1">
      <alignment horizontal="center" vertical="center" wrapText="1"/>
    </xf>
    <xf numFmtId="0" fontId="4" fillId="0" borderId="46" xfId="43" applyFont="1" applyBorder="1" applyAlignment="1">
      <alignment horizontal="center" vertical="center"/>
    </xf>
    <xf numFmtId="0" fontId="4" fillId="2" borderId="47" xfId="43" applyFont="1" applyFill="1" applyBorder="1" applyAlignment="1">
      <alignment vertical="center"/>
    </xf>
    <xf numFmtId="0" fontId="3" fillId="2" borderId="27" xfId="43" applyFont="1" applyFill="1" applyBorder="1" applyAlignment="1">
      <alignment horizontal="center" wrapText="1"/>
    </xf>
    <xf numFmtId="0" fontId="5" fillId="3" borderId="47" xfId="43" applyFont="1" applyFill="1" applyBorder="1"/>
    <xf numFmtId="0" fontId="4" fillId="4" borderId="27" xfId="43" applyFont="1" applyFill="1" applyBorder="1"/>
    <xf numFmtId="4" fontId="3" fillId="4" borderId="7" xfId="43" applyNumberFormat="1" applyFont="1" applyFill="1" applyBorder="1" applyAlignment="1">
      <alignment horizontal="center"/>
    </xf>
    <xf numFmtId="3" fontId="28" fillId="0" borderId="0" xfId="43" applyNumberFormat="1" applyFont="1"/>
    <xf numFmtId="0" fontId="6" fillId="5" borderId="8" xfId="43" applyFont="1" applyFill="1" applyBorder="1" applyAlignment="1">
      <alignment horizontal="left"/>
    </xf>
    <xf numFmtId="0" fontId="6" fillId="5" borderId="9" xfId="43" applyFont="1" applyFill="1" applyBorder="1" applyAlignment="1">
      <alignment horizontal="right"/>
    </xf>
    <xf numFmtId="0" fontId="6" fillId="5" borderId="10" xfId="43" applyFont="1" applyFill="1" applyBorder="1" applyAlignment="1">
      <alignment vertical="center" wrapText="1"/>
    </xf>
    <xf numFmtId="2" fontId="6" fillId="5" borderId="29" xfId="43" applyNumberFormat="1" applyFont="1" applyFill="1" applyBorder="1" applyAlignment="1">
      <alignment horizontal="center"/>
    </xf>
    <xf numFmtId="1" fontId="6" fillId="5" borderId="29" xfId="43" applyNumberFormat="1" applyFont="1" applyFill="1" applyBorder="1" applyAlignment="1">
      <alignment horizontal="center"/>
    </xf>
    <xf numFmtId="2" fontId="6" fillId="5" borderId="50" xfId="43" applyNumberFormat="1" applyFont="1" applyFill="1" applyBorder="1" applyAlignment="1">
      <alignment horizontal="center"/>
    </xf>
    <xf numFmtId="4" fontId="28" fillId="0" borderId="0" xfId="43" applyNumberFormat="1" applyFont="1"/>
    <xf numFmtId="4" fontId="6" fillId="0" borderId="1" xfId="0" applyNumberFormat="1" applyFont="1" applyBorder="1"/>
    <xf numFmtId="0" fontId="0" fillId="0" borderId="1" xfId="0" applyBorder="1"/>
    <xf numFmtId="4" fontId="5" fillId="0" borderId="1" xfId="0" applyNumberFormat="1" applyFont="1" applyBorder="1"/>
    <xf numFmtId="0" fontId="6" fillId="5" borderId="1" xfId="42" applyFont="1" applyFill="1" applyBorder="1" applyAlignment="1">
      <alignment wrapText="1"/>
    </xf>
    <xf numFmtId="0" fontId="6" fillId="5" borderId="1" xfId="42" applyFont="1" applyFill="1" applyBorder="1" applyAlignment="1">
      <alignment horizontal="right"/>
    </xf>
    <xf numFmtId="0" fontId="6" fillId="3" borderId="1" xfId="42" applyFont="1" applyFill="1" applyBorder="1" applyAlignment="1">
      <alignment horizontal="right"/>
    </xf>
    <xf numFmtId="0" fontId="3" fillId="3" borderId="1" xfId="42" applyFont="1" applyFill="1" applyBorder="1" applyAlignment="1">
      <alignment horizontal="right"/>
    </xf>
    <xf numFmtId="0" fontId="6" fillId="5" borderId="1" xfId="43" applyFont="1" applyFill="1" applyBorder="1" applyAlignment="1">
      <alignment wrapText="1"/>
    </xf>
    <xf numFmtId="0" fontId="6" fillId="5" borderId="1" xfId="43" applyFont="1" applyFill="1" applyBorder="1" applyAlignment="1">
      <alignment horizontal="right"/>
    </xf>
    <xf numFmtId="0" fontId="6" fillId="5" borderId="1" xfId="43" applyFont="1" applyFill="1" applyBorder="1" applyAlignment="1">
      <alignment horizontal="left" wrapText="1"/>
    </xf>
    <xf numFmtId="0" fontId="6" fillId="5" borderId="1" xfId="43" applyFont="1" applyFill="1" applyBorder="1" applyAlignment="1">
      <alignment horizontal="right" wrapText="1"/>
    </xf>
    <xf numFmtId="0" fontId="6" fillId="5" borderId="1" xfId="43" applyFont="1" applyFill="1" applyBorder="1" applyAlignment="1">
      <alignment horizontal="left"/>
    </xf>
    <xf numFmtId="0" fontId="3" fillId="4" borderId="2"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6" fillId="0" borderId="0" xfId="0" applyFont="1" applyAlignment="1">
      <alignment horizontal="left" wrapText="1"/>
    </xf>
    <xf numFmtId="0" fontId="9" fillId="0" borderId="20" xfId="0" applyFont="1" applyBorder="1" applyAlignment="1">
      <alignment horizontal="center" wrapText="1"/>
    </xf>
    <xf numFmtId="0" fontId="3" fillId="2" borderId="6"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1"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wrapText="1"/>
    </xf>
    <xf numFmtId="0" fontId="3" fillId="0" borderId="0" xfId="0" applyFont="1" applyAlignment="1">
      <alignment horizontal="left" wrapText="1"/>
    </xf>
    <xf numFmtId="0" fontId="6" fillId="5" borderId="2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0" borderId="0" xfId="0" applyFont="1" applyAlignment="1">
      <alignment horizontal="left" vertical="center" wrapText="1"/>
    </xf>
    <xf numFmtId="0" fontId="6" fillId="5" borderId="25"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6" fillId="0" borderId="0" xfId="26" applyFont="1" applyAlignment="1">
      <alignment horizontal="left" wrapText="1"/>
    </xf>
    <xf numFmtId="0" fontId="9" fillId="0" borderId="20" xfId="26" applyFont="1" applyBorder="1" applyAlignment="1">
      <alignment horizontal="center" wrapText="1"/>
    </xf>
    <xf numFmtId="0" fontId="3" fillId="2" borderId="2" xfId="26" applyFont="1" applyFill="1" applyBorder="1" applyAlignment="1">
      <alignment horizontal="center" vertical="center" wrapText="1"/>
    </xf>
    <xf numFmtId="0" fontId="3" fillId="2" borderId="22" xfId="26" applyFont="1" applyFill="1" applyBorder="1" applyAlignment="1">
      <alignment horizontal="center" vertical="center" wrapText="1"/>
    </xf>
    <xf numFmtId="0" fontId="3" fillId="2" borderId="23" xfId="26" applyFont="1" applyFill="1" applyBorder="1" applyAlignment="1">
      <alignment horizontal="center" vertical="center" wrapText="1"/>
    </xf>
    <xf numFmtId="0" fontId="3" fillId="2" borderId="25" xfId="26" applyFont="1" applyFill="1" applyBorder="1" applyAlignment="1">
      <alignment horizontal="center" vertical="center" wrapText="1"/>
    </xf>
    <xf numFmtId="0" fontId="3" fillId="2" borderId="21" xfId="26" applyFont="1" applyFill="1" applyBorder="1" applyAlignment="1">
      <alignment horizontal="center" vertical="center" wrapText="1"/>
    </xf>
    <xf numFmtId="0" fontId="3" fillId="2" borderId="14" xfId="26" applyFont="1" applyFill="1" applyBorder="1" applyAlignment="1">
      <alignment horizontal="center" vertical="center" wrapText="1"/>
    </xf>
    <xf numFmtId="0" fontId="3" fillId="2" borderId="6" xfId="26" applyFont="1" applyFill="1" applyBorder="1" applyAlignment="1">
      <alignment horizontal="center" vertical="center"/>
    </xf>
    <xf numFmtId="0" fontId="3" fillId="2" borderId="21" xfId="26" applyFont="1" applyFill="1" applyBorder="1" applyAlignment="1">
      <alignment horizontal="center" vertical="center"/>
    </xf>
    <xf numFmtId="0" fontId="3" fillId="2" borderId="14" xfId="26" applyFont="1" applyFill="1" applyBorder="1" applyAlignment="1">
      <alignment horizontal="center" vertical="center"/>
    </xf>
    <xf numFmtId="0" fontId="6" fillId="3" borderId="2" xfId="26" applyFont="1" applyFill="1" applyBorder="1" applyAlignment="1">
      <alignment horizontal="center" vertical="center" wrapText="1"/>
    </xf>
    <xf numFmtId="0" fontId="6" fillId="3" borderId="22" xfId="26" applyFont="1" applyFill="1" applyBorder="1" applyAlignment="1">
      <alignment horizontal="center" vertical="center" wrapText="1"/>
    </xf>
    <xf numFmtId="0" fontId="6" fillId="3" borderId="23" xfId="26" applyFont="1" applyFill="1" applyBorder="1" applyAlignment="1">
      <alignment horizontal="center" vertical="center" wrapText="1"/>
    </xf>
    <xf numFmtId="0" fontId="6" fillId="5" borderId="21" xfId="26" applyFont="1" applyFill="1" applyBorder="1" applyAlignment="1">
      <alignment horizontal="center" vertical="center" wrapText="1"/>
    </xf>
    <xf numFmtId="0" fontId="6" fillId="5" borderId="29" xfId="26" applyFont="1" applyFill="1" applyBorder="1" applyAlignment="1">
      <alignment horizontal="center" vertical="center" wrapText="1"/>
    </xf>
    <xf numFmtId="0" fontId="3" fillId="4" borderId="2" xfId="26" applyFont="1" applyFill="1" applyBorder="1" applyAlignment="1">
      <alignment horizontal="center" vertical="center" wrapText="1"/>
    </xf>
    <xf numFmtId="0" fontId="3" fillId="4" borderId="23" xfId="26" applyFont="1" applyFill="1" applyBorder="1" applyAlignment="1">
      <alignment horizontal="center" vertical="center" wrapText="1"/>
    </xf>
    <xf numFmtId="0" fontId="3" fillId="0" borderId="0" xfId="26" applyFont="1" applyAlignment="1">
      <alignment horizontal="left" wrapText="1"/>
    </xf>
    <xf numFmtId="0" fontId="6" fillId="0" borderId="0" xfId="26" applyFont="1" applyAlignment="1">
      <alignment horizontal="left" vertical="center" wrapText="1"/>
    </xf>
    <xf numFmtId="0" fontId="6" fillId="0" borderId="0" xfId="42" applyFont="1" applyAlignment="1">
      <alignment horizontal="left" wrapText="1"/>
    </xf>
    <xf numFmtId="0" fontId="6" fillId="0" borderId="0" xfId="42" applyFont="1" applyAlignment="1">
      <alignment horizontal="left" vertical="center" wrapText="1"/>
    </xf>
    <xf numFmtId="0" fontId="3" fillId="4" borderId="2" xfId="42" applyFont="1" applyFill="1" applyBorder="1" applyAlignment="1">
      <alignment horizontal="center" vertical="center" wrapText="1"/>
    </xf>
    <xf numFmtId="0" fontId="3" fillId="4" borderId="23" xfId="42" applyFont="1" applyFill="1" applyBorder="1" applyAlignment="1">
      <alignment horizontal="center" vertical="center" wrapText="1"/>
    </xf>
    <xf numFmtId="0" fontId="3" fillId="0" borderId="0" xfId="42" applyFont="1" applyAlignment="1">
      <alignment horizontal="left" wrapText="1"/>
    </xf>
    <xf numFmtId="0" fontId="9" fillId="0" borderId="20" xfId="42" applyFont="1" applyBorder="1" applyAlignment="1">
      <alignment horizontal="center" wrapText="1"/>
    </xf>
    <xf numFmtId="0" fontId="3" fillId="2" borderId="2" xfId="42" applyFont="1" applyFill="1" applyBorder="1" applyAlignment="1">
      <alignment horizontal="center" vertical="center" wrapText="1"/>
    </xf>
    <xf numFmtId="0" fontId="3" fillId="2" borderId="22" xfId="42" applyFont="1" applyFill="1" applyBorder="1" applyAlignment="1">
      <alignment horizontal="center" vertical="center" wrapText="1"/>
    </xf>
    <xf numFmtId="0" fontId="3" fillId="2" borderId="23" xfId="42" applyFont="1" applyFill="1" applyBorder="1" applyAlignment="1">
      <alignment horizontal="center" vertical="center" wrapText="1"/>
    </xf>
    <xf numFmtId="0" fontId="3" fillId="2" borderId="25" xfId="42" applyFont="1" applyFill="1" applyBorder="1" applyAlignment="1">
      <alignment horizontal="center" vertical="center" wrapText="1"/>
    </xf>
    <xf numFmtId="0" fontId="3" fillId="2" borderId="21" xfId="42" applyFont="1" applyFill="1" applyBorder="1" applyAlignment="1">
      <alignment horizontal="center" vertical="center" wrapText="1"/>
    </xf>
    <xf numFmtId="0" fontId="3" fillId="2" borderId="14" xfId="42" applyFont="1" applyFill="1" applyBorder="1" applyAlignment="1">
      <alignment horizontal="center" vertical="center" wrapText="1"/>
    </xf>
    <xf numFmtId="0" fontId="3" fillId="2" borderId="6" xfId="42" applyFont="1" applyFill="1" applyBorder="1" applyAlignment="1">
      <alignment horizontal="center" vertical="center"/>
    </xf>
    <xf numFmtId="0" fontId="3" fillId="2" borderId="21" xfId="42" applyFont="1" applyFill="1" applyBorder="1" applyAlignment="1">
      <alignment horizontal="center" vertical="center"/>
    </xf>
    <xf numFmtId="0" fontId="3" fillId="2" borderId="14" xfId="42" applyFont="1" applyFill="1" applyBorder="1" applyAlignment="1">
      <alignment horizontal="center" vertical="center"/>
    </xf>
    <xf numFmtId="0" fontId="6" fillId="3" borderId="2" xfId="42" applyFont="1" applyFill="1" applyBorder="1" applyAlignment="1">
      <alignment horizontal="center" vertical="center" wrapText="1"/>
    </xf>
    <xf numFmtId="0" fontId="6" fillId="3" borderId="22" xfId="42" applyFont="1" applyFill="1" applyBorder="1" applyAlignment="1">
      <alignment horizontal="center" vertical="center" wrapText="1"/>
    </xf>
    <xf numFmtId="0" fontId="6" fillId="5" borderId="21" xfId="42" applyFont="1" applyFill="1" applyBorder="1" applyAlignment="1">
      <alignment horizontal="center" vertical="center" wrapText="1"/>
    </xf>
    <xf numFmtId="0" fontId="6" fillId="0" borderId="0" xfId="43" applyFont="1" applyAlignment="1">
      <alignment horizontal="left" wrapText="1"/>
    </xf>
    <xf numFmtId="0" fontId="6" fillId="0" borderId="0" xfId="43" applyFont="1" applyAlignment="1">
      <alignment horizontal="left" vertical="center" wrapText="1"/>
    </xf>
    <xf numFmtId="0" fontId="3" fillId="4" borderId="2" xfId="43" applyFont="1" applyFill="1" applyBorder="1" applyAlignment="1">
      <alignment horizontal="center" vertical="center" wrapText="1"/>
    </xf>
    <xf numFmtId="0" fontId="3" fillId="4" borderId="23" xfId="43" applyFont="1" applyFill="1" applyBorder="1" applyAlignment="1">
      <alignment horizontal="center" vertical="center" wrapText="1"/>
    </xf>
    <xf numFmtId="0" fontId="3" fillId="0" borderId="0" xfId="43" applyFont="1" applyAlignment="1">
      <alignment horizontal="left" wrapText="1"/>
    </xf>
    <xf numFmtId="0" fontId="9" fillId="0" borderId="20" xfId="43" applyFont="1" applyBorder="1" applyAlignment="1">
      <alignment horizontal="center" wrapText="1"/>
    </xf>
    <xf numFmtId="0" fontId="3" fillId="2" borderId="2" xfId="43" applyFont="1" applyFill="1" applyBorder="1" applyAlignment="1">
      <alignment horizontal="center" vertical="center" wrapText="1"/>
    </xf>
    <xf numFmtId="0" fontId="3" fillId="2" borderId="22" xfId="43" applyFont="1" applyFill="1" applyBorder="1" applyAlignment="1">
      <alignment horizontal="center" vertical="center" wrapText="1"/>
    </xf>
    <xf numFmtId="0" fontId="3" fillId="2" borderId="23" xfId="43" applyFont="1" applyFill="1" applyBorder="1" applyAlignment="1">
      <alignment horizontal="center" vertical="center" wrapText="1"/>
    </xf>
    <xf numFmtId="0" fontId="3" fillId="2" borderId="25" xfId="43" applyFont="1" applyFill="1" applyBorder="1" applyAlignment="1">
      <alignment horizontal="center" vertical="center" wrapText="1"/>
    </xf>
    <xf numFmtId="0" fontId="3" fillId="2" borderId="21" xfId="43" applyFont="1" applyFill="1" applyBorder="1" applyAlignment="1">
      <alignment horizontal="center" vertical="center" wrapText="1"/>
    </xf>
    <xf numFmtId="0" fontId="3" fillId="2" borderId="14" xfId="43" applyFont="1" applyFill="1" applyBorder="1" applyAlignment="1">
      <alignment horizontal="center" vertical="center" wrapText="1"/>
    </xf>
    <xf numFmtId="0" fontId="3" fillId="2" borderId="6" xfId="43" applyFont="1" applyFill="1" applyBorder="1" applyAlignment="1">
      <alignment horizontal="center" vertical="center"/>
    </xf>
    <xf numFmtId="0" fontId="3" fillId="2" borderId="21" xfId="43" applyFont="1" applyFill="1" applyBorder="1" applyAlignment="1">
      <alignment horizontal="center" vertical="center"/>
    </xf>
    <xf numFmtId="0" fontId="3" fillId="2" borderId="14" xfId="43" applyFont="1" applyFill="1" applyBorder="1" applyAlignment="1">
      <alignment horizontal="center" vertical="center"/>
    </xf>
    <xf numFmtId="0" fontId="6" fillId="3" borderId="2" xfId="43" applyFont="1" applyFill="1" applyBorder="1" applyAlignment="1">
      <alignment horizontal="center" vertical="center" wrapText="1"/>
    </xf>
    <xf numFmtId="0" fontId="6" fillId="3" borderId="22" xfId="43" applyFont="1" applyFill="1" applyBorder="1" applyAlignment="1">
      <alignment horizontal="center" vertical="center" wrapText="1"/>
    </xf>
    <xf numFmtId="0" fontId="6" fillId="5" borderId="21" xfId="43" applyFont="1" applyFill="1" applyBorder="1" applyAlignment="1">
      <alignment horizontal="center" vertical="center" wrapText="1"/>
    </xf>
    <xf numFmtId="0" fontId="3" fillId="4" borderId="47" xfId="43" applyFont="1" applyFill="1" applyBorder="1" applyAlignment="1">
      <alignment horizontal="center" vertical="center" wrapText="1"/>
    </xf>
    <xf numFmtId="0" fontId="3" fillId="4" borderId="41" xfId="43" applyFont="1" applyFill="1" applyBorder="1" applyAlignment="1">
      <alignment horizontal="center" vertical="center" wrapText="1"/>
    </xf>
    <xf numFmtId="0" fontId="3" fillId="4" borderId="49" xfId="43" applyFont="1" applyFill="1" applyBorder="1" applyAlignment="1">
      <alignment horizontal="center" vertical="center" wrapText="1"/>
    </xf>
    <xf numFmtId="0" fontId="9" fillId="0" borderId="0" xfId="43" applyFont="1" applyAlignment="1">
      <alignment horizontal="center" wrapText="1"/>
    </xf>
    <xf numFmtId="0" fontId="3" fillId="2" borderId="47" xfId="43" applyFont="1" applyFill="1" applyBorder="1" applyAlignment="1">
      <alignment horizontal="center" vertical="center" wrapText="1"/>
    </xf>
    <xf numFmtId="0" fontId="3" fillId="2" borderId="48" xfId="43" applyFont="1" applyFill="1" applyBorder="1" applyAlignment="1">
      <alignment horizontal="center" vertical="center" wrapText="1"/>
    </xf>
    <xf numFmtId="0" fontId="3" fillId="2" borderId="41" xfId="43" applyFont="1" applyFill="1" applyBorder="1" applyAlignment="1">
      <alignment horizontal="center" vertical="center" wrapText="1"/>
    </xf>
    <xf numFmtId="0" fontId="6" fillId="3" borderId="47" xfId="43" applyFont="1" applyFill="1" applyBorder="1" applyAlignment="1">
      <alignment horizontal="center" vertical="center" wrapText="1"/>
    </xf>
    <xf numFmtId="0" fontId="6" fillId="3" borderId="48" xfId="43" applyFont="1" applyFill="1" applyBorder="1" applyAlignment="1">
      <alignment horizontal="center" vertical="center" wrapText="1"/>
    </xf>
    <xf numFmtId="0" fontId="6" fillId="5" borderId="1" xfId="43" applyFont="1" applyFill="1" applyBorder="1" applyAlignment="1">
      <alignment horizontal="center" vertical="center" wrapText="1"/>
    </xf>
    <xf numFmtId="0" fontId="16" fillId="0" borderId="0" xfId="0" applyFont="1" applyAlignment="1">
      <alignment horizontal="center" wrapText="1"/>
    </xf>
    <xf numFmtId="0" fontId="22" fillId="0" borderId="0" xfId="28"/>
    <xf numFmtId="0" fontId="22" fillId="0" borderId="0" xfId="28" applyAlignment="1">
      <alignment wrapText="1"/>
    </xf>
    <xf numFmtId="0" fontId="23" fillId="0" borderId="0" xfId="29"/>
    <xf numFmtId="0" fontId="27" fillId="0" borderId="0" xfId="29" applyFont="1" applyAlignment="1">
      <alignment wrapText="1" shrinkToFit="1"/>
    </xf>
    <xf numFmtId="0" fontId="23" fillId="0" borderId="0" xfId="29" applyFont="1" applyAlignment="1">
      <alignment wrapText="1" shrinkToFit="1"/>
    </xf>
  </cellXfs>
  <cellStyles count="44">
    <cellStyle name="____page" xfId="5" xr:uid="{01DC1C88-0AD7-469C-A5E9-076A4139C3EE}"/>
    <cellStyle name="___col1" xfId="13" xr:uid="{DF925135-C015-4CA7-B9B5-4890398D5DD7}"/>
    <cellStyle name="___col2" xfId="8" xr:uid="{FFAB3BE2-2481-4742-87B7-10821B334287}"/>
    <cellStyle name="___col3" xfId="6" xr:uid="{A9D159FF-5EC8-4D86-84AF-30F5E1469BC2}"/>
    <cellStyle name="___page" xfId="3" xr:uid="{B67E3159-722B-4D94-A154-454C35678F09}"/>
    <cellStyle name="___row1" xfId="14" xr:uid="{C4750394-C75A-4893-8B7C-7D7629014888}"/>
    <cellStyle name="___row2" xfId="15" xr:uid="{7FD7D10E-1E07-46BB-A0CE-F30E0CB4A157}"/>
    <cellStyle name="___row3" xfId="16" xr:uid="{B6E72410-0404-488D-9426-FE9FBA59DBDC}"/>
    <cellStyle name="__col1" xfId="17" xr:uid="{0031AB4C-613B-4A84-B56E-526FE931ECFA}"/>
    <cellStyle name="__col2" xfId="9" xr:uid="{C43D7F2C-FC6E-4F98-A838-359066C79AC3}"/>
    <cellStyle name="__col3" xfId="7" xr:uid="{1145CACA-7ADB-4847-B56B-5919CD5EC779}"/>
    <cellStyle name="__page" xfId="1" xr:uid="{9FFC3510-A4E0-4F62-9246-8B7349F9253E}"/>
    <cellStyle name="__row1" xfId="18" xr:uid="{2F0108B0-ECB7-4734-9114-3A69AFB4DF34}"/>
    <cellStyle name="__row2" xfId="19" xr:uid="{DB659733-B14F-4EAE-8E13-93C84EF2480C}"/>
    <cellStyle name="__row3" xfId="20" xr:uid="{85491F54-90CC-4A6F-ABCA-747002228510}"/>
    <cellStyle name="_col1" xfId="10" xr:uid="{55FF8386-7D6D-4024-8477-43E02270542D}"/>
    <cellStyle name="_col2" xfId="21" xr:uid="{0F9C38DC-0860-4404-B4D0-01ACCBF09B93}"/>
    <cellStyle name="_col3" xfId="22" xr:uid="{CD8332B8-3F32-4985-9C98-7D853D621416}"/>
    <cellStyle name="_data" xfId="12" xr:uid="{51AF4642-DBB3-4527-907F-7C3442FD6E04}"/>
    <cellStyle name="_freeze" xfId="23" xr:uid="{83FC24E9-122B-4431-8DEE-E140D6881D5A}"/>
    <cellStyle name="_page" xfId="4" xr:uid="{C6B4FE00-9340-4F59-A2F7-F893AAA6EE3F}"/>
    <cellStyle name="_row1" xfId="11" xr:uid="{AE514642-E534-49AF-9A68-674CD5AC5D09}"/>
    <cellStyle name="_row2" xfId="24" xr:uid="{64171CF6-9F56-42BD-A37A-13751F264252}"/>
    <cellStyle name="_row3" xfId="25" xr:uid="{0B8E56FC-3CB2-423B-9D56-8CFB11F4AE37}"/>
    <cellStyle name="Normal" xfId="0" builtinId="0" customBuiltin="1"/>
    <cellStyle name="Normal 2" xfId="2" xr:uid="{44E13075-548A-4B3E-978C-C95BF689A2FC}"/>
    <cellStyle name="Normal 3" xfId="26" xr:uid="{3277D717-39A5-441E-9C2C-AFDA49D68225}"/>
    <cellStyle name="Normal 4" xfId="42" xr:uid="{53461E89-AC3D-4655-9FF6-523A86936E61}"/>
    <cellStyle name="Normal 5" xfId="43" xr:uid="{4EAA5597-0EE2-4D67-95EB-882972EA7078}"/>
    <cellStyle name="WhiteColumn" xfId="35" xr:uid="{7487CD3D-DC3E-4A8B-A0A6-3AD5F181E078}"/>
    <cellStyle name="WhiteColumnHidden" xfId="36" xr:uid="{72715652-B6D5-4186-B0F6-EDC10089C864}"/>
    <cellStyle name="WhiteColumnSpacer" xfId="34" xr:uid="{9731E310-E601-4B8B-8C74-437861420F9E}"/>
    <cellStyle name="WhiteData" xfId="39" xr:uid="{9EE48EED-9ECC-4A62-8BB1-AF213CE6AAF1}"/>
    <cellStyle name="WhiteHeaderDimension" xfId="32" xr:uid="{E9778F07-D305-4CB6-9550-20433F7FBF35}"/>
    <cellStyle name="WhiteHeaderElement" xfId="33" xr:uid="{64AEE0D2-5340-484A-9142-31524A69F243}"/>
    <cellStyle name="WhiteHeaderSpacer" xfId="31" xr:uid="{47CA7239-9391-435E-88F0-2B63FAA027F6}"/>
    <cellStyle name="WhiteRow" xfId="37" xr:uid="{D936E111-D301-4B13-B013-3E700E0EB9BF}"/>
    <cellStyle name="WhiteRowCollapsed" xfId="41" xr:uid="{879C0F33-FDF6-49A9-A212-A3C80E15DAFB}"/>
    <cellStyle name="WhiteRowExpanded" xfId="40" xr:uid="{599977AD-CC35-40F1-AE49-5C706F1820A4}"/>
    <cellStyle name="WhiteRowHidden" xfId="38" xr:uid="{02E9DA99-22AA-42E6-B33E-392C5340E175}"/>
    <cellStyle name="WhiteSource" xfId="30" xr:uid="{7322FAC2-81D1-481D-AF60-ECD281F7B1B4}"/>
    <cellStyle name="WhiteSubTitle" xfId="29" xr:uid="{ED9D41BE-16DA-436B-A91A-D90E4B5CD4E5}"/>
    <cellStyle name="WhiteTitle" xfId="28" xr:uid="{391E0671-E513-4650-BF6E-7897A79FDB68}"/>
    <cellStyle name="WhiteTitleSpacer" xfId="27" xr:uid="{F1513653-E787-4942-B1F5-C2FA977D7F60}"/>
  </cellStyles>
  <dxfs count="13">
    <dxf>
      <font>
        <b/>
        <charset val="186"/>
      </font>
    </dxf>
    <dxf>
      <font>
        <sz val="10"/>
      </font>
    </dxf>
    <dxf>
      <font>
        <sz val="10"/>
      </font>
    </dxf>
    <dxf>
      <font>
        <b/>
        <charset val="186"/>
      </font>
    </dxf>
    <dxf>
      <font>
        <b/>
        <charset val="186"/>
      </font>
    </dxf>
    <dxf>
      <font>
        <b/>
        <charset val="186"/>
      </font>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03.671128703703" createdVersion="7" refreshedVersion="7" minRefreshableVersion="3" recordCount="918" xr:uid="{345F24F8-E401-44A8-953C-94B73F11D2FA}">
  <cacheSource type="worksheet">
    <worksheetSource ref="B5:G923" sheet="PIVOT"/>
  </cacheSource>
  <cacheFields count="6">
    <cacheField name="Rādītājs" numFmtId="0">
      <sharedItems count="97">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Roku dezinfekcijas līdzekļi"/>
        <s v="Virsmu dezinfekcijas līdzekļi "/>
        <s v="Sejas maskas"/>
        <s v="Papīra dvieļi"/>
        <s v="Pudeles izsmidzināšanai 650 ml"/>
        <s v="Pudeles izsmidzināšanai 750 ml"/>
        <s v="(K) Faktiskās izmaksas Covid-19 pandēmijas ierobežošanai, t.sk. "/>
        <s v="Roku dezinfekcijas līdzekļi, litri"/>
        <s v="Virsmu dezinfekcijas līdzekļi , litri "/>
        <s v="Papīra dvieļi, ruļļi"/>
        <s v="Pudeles izsmidzināšanai 650 ml, gab."/>
        <s v="Pudeles izsmidzināšanai 750 ml, gab."/>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Virsmu dezinfekcijas līdzekļi"/>
        <s v="Roku un virsmu dezinfekcijas līdzeklis (4 litri)"/>
        <s v="Cimdi lateksa"/>
        <s v="Sociālā distancēšanās sabiedriskā transportā "/>
        <s v="Līmlente brīdinājuma"/>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Dezinfekcijas līdzekļi"/>
        <s v="Cimdi gumijas"/>
        <s v="Dezinfekcijas līdzekļi , litri "/>
        <s v="Sejas maskas, gabali"/>
        <s v="Cimdi gumijas, pāris"/>
        <s v="Cimdi lateksa, gabali"/>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Dezinfekcijas līdzekļi Lideks OxyDez"/>
        <s v="Dezinfekcijas līdzekļi Lideks-Spray"/>
        <s v="Dezinfekcijas mazgāšanas līdzeklis"/>
        <s v="Pudele ar smidzinātāju 750 ml"/>
        <s v="Pudele ar smidzinātāju 650 ml"/>
        <s v="Mitrinošs roku kopšanas līdzeklis ALCOHOL GEL, 500 ml"/>
        <s v="Sejas maska 50gab."/>
        <s v="Sejas aizsargmaska medicīniska  50gab."/>
        <s v="Sejas aizsargmaska medicīniska  50gab./4 iepakojumi "/>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SOFT CARE DES E SPRAY šķidrā roku dezinfekcija"/>
        <s v="ALCOHOL GEL Mitrinošs roku kopšanas līdzeklis, 500 ml"/>
        <s v="(A) No pasažieriem, t.sk., personām, kurām noteikti pašvaldības noteiktie braukšanas maksas atvieglojumi, saņemtie ieņēmumi par sniegto sabiedriskā transporta pakalpojumu - 01.07.2021.-31.07.2021."/>
        <s v="(N) Faktiskais nobraukums - 01.07.2021.-30.07.2021."/>
        <s v="(C) No pasažieriem, t.sk., personām, kurām noteikti pašvaldības noteiktie braukšanas maksas atvieglojumi, saņemtie ieņēmumi par sniegto sabiedriskā transporta pakalpojumu - 01.07.2019.-31.07.2019."/>
        <s v="(D) Faktiskais nobraukums - 01.07.2019.-31.07.2019."/>
        <s v="Sejas maska, premium, 50gab."/>
        <s v="Sejas aizsargmaska 3-slāņu, zila, 50gab. (4 iep/kastē)"/>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Sejas maskas FFP2"/>
        <s v="Sejas aizsargmaska medicīniska (50 gab./4 iep. kastē)"/>
        <s v="Papīrs Forpus Office Copy A4 80gsm"/>
        <s v="Līmlente norobežojoša atstarojoša"/>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Dezinfekcijas līdz. virsmām uz 80% etanola bāzes"/>
        <s v="VIRUDES roku un virsmu dezinfekcijas līdzeklis"/>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Sejas maska FFP2"/>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haredItems>
    </cacheField>
    <cacheField name="Vienības " numFmtId="0">
      <sharedItems containsBlank="1"/>
    </cacheField>
    <cacheField name="Vērtība" numFmtId="0">
      <sharedItems containsString="0" containsBlank="1" containsNumber="1" minValue="-6949.3708200000237" maxValue="248946.66900000008"/>
    </cacheField>
    <cacheField name="Pārvadājumu veids" numFmtId="0">
      <sharedItems count="3">
        <s v="Autobuss"/>
        <s v="Minibuss"/>
        <s v="Tramvajs"/>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18">
  <r>
    <x v="0"/>
    <m/>
    <n v="-553.35571200001482"/>
    <x v="0"/>
    <s v="Liepāja"/>
    <x v="0"/>
  </r>
  <r>
    <x v="1"/>
    <s v="skaits"/>
    <n v="43"/>
    <x v="0"/>
    <s v="Liepāja"/>
    <x v="0"/>
  </r>
  <r>
    <x v="2"/>
    <s v="skaits"/>
    <n v="10201"/>
    <x v="0"/>
    <s v="Liepāja"/>
    <x v="0"/>
  </r>
  <r>
    <x v="3"/>
    <s v="skaits"/>
    <n v="10165"/>
    <x v="0"/>
    <s v="Liepāja"/>
    <x v="0"/>
  </r>
  <r>
    <x v="4"/>
    <s v="skaits"/>
    <n v="0"/>
    <x v="0"/>
    <s v="Liepāja"/>
    <x v="0"/>
  </r>
  <r>
    <x v="5"/>
    <s v="skaits"/>
    <n v="36"/>
    <x v="0"/>
    <s v="Liepāja"/>
    <x v="0"/>
  </r>
  <r>
    <x v="6"/>
    <s v="km"/>
    <n v="146665.04"/>
    <x v="0"/>
    <s v="Liepāja"/>
    <x v="0"/>
  </r>
  <r>
    <x v="7"/>
    <s v="km"/>
    <n v="146317.28"/>
    <x v="0"/>
    <s v="Liepāja"/>
    <x v="0"/>
  </r>
  <r>
    <x v="8"/>
    <s v="km"/>
    <n v="0"/>
    <x v="0"/>
    <s v="Liepāja"/>
    <x v="0"/>
  </r>
  <r>
    <x v="9"/>
    <s v="km"/>
    <n v="347.76"/>
    <x v="0"/>
    <s v="Liepāja"/>
    <x v="0"/>
  </r>
  <r>
    <x v="10"/>
    <s v="EUR/km"/>
    <n v="1.5911999999999999"/>
    <x v="0"/>
    <s v="Liepāja"/>
    <x v="0"/>
  </r>
  <r>
    <x v="0"/>
    <m/>
    <n v="-685.55852399999742"/>
    <x v="1"/>
    <s v="Liepāja"/>
    <x v="0"/>
  </r>
  <r>
    <x v="1"/>
    <s v="skaits"/>
    <n v="13"/>
    <x v="1"/>
    <s v="Liepāja"/>
    <x v="0"/>
  </r>
  <r>
    <x v="2"/>
    <s v="skaits"/>
    <n v="6814"/>
    <x v="1"/>
    <s v="Liepāja"/>
    <x v="0"/>
  </r>
  <r>
    <x v="3"/>
    <s v="skaits"/>
    <n v="6706"/>
    <x v="1"/>
    <s v="Liepāja"/>
    <x v="0"/>
  </r>
  <r>
    <x v="4"/>
    <s v="skaits"/>
    <n v="0"/>
    <x v="1"/>
    <s v="Liepāja"/>
    <x v="0"/>
  </r>
  <r>
    <x v="5"/>
    <s v="skaits"/>
    <n v="108"/>
    <x v="1"/>
    <s v="Liepāja"/>
    <x v="0"/>
  </r>
  <r>
    <x v="6"/>
    <s v="km"/>
    <n v="65745.289999999994"/>
    <x v="1"/>
    <s v="Liepāja"/>
    <x v="0"/>
  </r>
  <r>
    <x v="7"/>
    <s v="km"/>
    <n v="64902.77"/>
    <x v="1"/>
    <s v="Liepāja"/>
    <x v="0"/>
  </r>
  <r>
    <x v="8"/>
    <s v="km"/>
    <n v="0"/>
    <x v="1"/>
    <s v="Liepāja"/>
    <x v="0"/>
  </r>
  <r>
    <x v="9"/>
    <s v="km"/>
    <n v="842.52"/>
    <x v="1"/>
    <s v="Liepāja"/>
    <x v="0"/>
  </r>
  <r>
    <x v="10"/>
    <s v="EUR/km"/>
    <n v="0.81369999999999998"/>
    <x v="1"/>
    <s v="Liepāja"/>
    <x v="0"/>
  </r>
  <r>
    <x v="0"/>
    <m/>
    <n v="0"/>
    <x v="2"/>
    <s v="Liepāja"/>
    <x v="0"/>
  </r>
  <r>
    <x v="1"/>
    <s v="skaits"/>
    <n v="20"/>
    <x v="2"/>
    <s v="Liepāja"/>
    <x v="0"/>
  </r>
  <r>
    <x v="2"/>
    <s v="skaits"/>
    <n v="6084"/>
    <x v="2"/>
    <s v="Liepāja"/>
    <x v="0"/>
  </r>
  <r>
    <x v="3"/>
    <s v="skaits"/>
    <n v="6084"/>
    <x v="2"/>
    <s v="Liepāja"/>
    <x v="0"/>
  </r>
  <r>
    <x v="4"/>
    <s v="skaits"/>
    <n v="0"/>
    <x v="2"/>
    <s v="Liepāja"/>
    <x v="0"/>
  </r>
  <r>
    <x v="5"/>
    <s v="skaits"/>
    <n v="0"/>
    <x v="2"/>
    <s v="Liepāja"/>
    <x v="0"/>
  </r>
  <r>
    <x v="6"/>
    <s v="km"/>
    <n v="45021.599999999999"/>
    <x v="2"/>
    <s v="Liepāja"/>
    <x v="0"/>
  </r>
  <r>
    <x v="7"/>
    <s v="km"/>
    <n v="45021.599999999999"/>
    <x v="2"/>
    <s v="Liepāja"/>
    <x v="0"/>
  </r>
  <r>
    <x v="8"/>
    <s v="km"/>
    <n v="0"/>
    <x v="2"/>
    <s v="Liepāja"/>
    <x v="0"/>
  </r>
  <r>
    <x v="9"/>
    <s v="km"/>
    <n v="0"/>
    <x v="2"/>
    <s v="Liepāja"/>
    <x v="0"/>
  </r>
  <r>
    <x v="10"/>
    <s v="EUR/km"/>
    <n v="2.8062999999999998"/>
    <x v="2"/>
    <s v="Liepāja"/>
    <x v="0"/>
  </r>
  <r>
    <x v="11"/>
    <m/>
    <n v="4.74"/>
    <x v="0"/>
    <s v="Liepāja"/>
    <x v="0"/>
  </r>
  <r>
    <x v="12"/>
    <m/>
    <m/>
    <x v="0"/>
    <s v="Liepāja"/>
    <x v="0"/>
  </r>
  <r>
    <x v="13"/>
    <s v="litri"/>
    <m/>
    <x v="0"/>
    <s v="Liepāja"/>
    <x v="0"/>
  </r>
  <r>
    <x v="14"/>
    <s v="litri"/>
    <m/>
    <x v="0"/>
    <s v="Liepāja"/>
    <x v="0"/>
  </r>
  <r>
    <x v="15"/>
    <s v="gabali"/>
    <n v="79"/>
    <x v="0"/>
    <s v="Liepāja"/>
    <x v="0"/>
  </r>
  <r>
    <x v="16"/>
    <s v="ruļļi"/>
    <m/>
    <x v="0"/>
    <s v="Liepāja"/>
    <x v="0"/>
  </r>
  <r>
    <x v="17"/>
    <s v="gabali"/>
    <m/>
    <x v="0"/>
    <s v="Liepāja"/>
    <x v="0"/>
  </r>
  <r>
    <x v="18"/>
    <s v="gabali"/>
    <m/>
    <x v="0"/>
    <s v="Liepāja"/>
    <x v="0"/>
  </r>
  <r>
    <x v="19"/>
    <s v="EUR/vien bez PVN"/>
    <m/>
    <x v="0"/>
    <s v="Liepāja"/>
    <x v="0"/>
  </r>
  <r>
    <x v="20"/>
    <s v="EUR/vien bez PVN"/>
    <m/>
    <x v="0"/>
    <s v="Liepāja"/>
    <x v="0"/>
  </r>
  <r>
    <x v="21"/>
    <s v="EUR/vien bez PVN"/>
    <m/>
    <x v="0"/>
    <s v="Liepāja"/>
    <x v="0"/>
  </r>
  <r>
    <x v="15"/>
    <s v="EUR/vien bez PVN"/>
    <n v="0.06"/>
    <x v="0"/>
    <s v="Liepāja"/>
    <x v="0"/>
  </r>
  <r>
    <x v="22"/>
    <s v="EUR/vien bez PVN"/>
    <m/>
    <x v="0"/>
    <s v="Liepāja"/>
    <x v="0"/>
  </r>
  <r>
    <x v="23"/>
    <s v="EUR/vien bez PVN"/>
    <m/>
    <x v="0"/>
    <s v="Liepāja"/>
    <x v="0"/>
  </r>
  <r>
    <x v="24"/>
    <s v="EUR/vien bez PVN"/>
    <m/>
    <x v="0"/>
    <s v="Liepāja"/>
    <x v="0"/>
  </r>
  <r>
    <x v="11"/>
    <m/>
    <n v="2.1"/>
    <x v="1"/>
    <s v="Liepāja"/>
    <x v="0"/>
  </r>
  <r>
    <x v="12"/>
    <m/>
    <m/>
    <x v="1"/>
    <s v="Liepāja"/>
    <x v="0"/>
  </r>
  <r>
    <x v="13"/>
    <s v="litri"/>
    <m/>
    <x v="1"/>
    <s v="Liepāja"/>
    <x v="0"/>
  </r>
  <r>
    <x v="14"/>
    <s v="litri"/>
    <m/>
    <x v="1"/>
    <s v="Liepāja"/>
    <x v="0"/>
  </r>
  <r>
    <x v="15"/>
    <s v="gabali"/>
    <n v="35"/>
    <x v="1"/>
    <s v="Liepāja"/>
    <x v="0"/>
  </r>
  <r>
    <x v="16"/>
    <s v="ruļļi"/>
    <m/>
    <x v="1"/>
    <s v="Liepāja"/>
    <x v="0"/>
  </r>
  <r>
    <x v="17"/>
    <s v="gabali"/>
    <m/>
    <x v="1"/>
    <s v="Liepāja"/>
    <x v="0"/>
  </r>
  <r>
    <x v="18"/>
    <s v="gabali"/>
    <m/>
    <x v="1"/>
    <s v="Liepāja"/>
    <x v="0"/>
  </r>
  <r>
    <x v="19"/>
    <s v="EUR/vien bez PVN"/>
    <m/>
    <x v="1"/>
    <s v="Liepāja"/>
    <x v="0"/>
  </r>
  <r>
    <x v="20"/>
    <s v="EUR/vien bez PVN"/>
    <m/>
    <x v="1"/>
    <s v="Liepāja"/>
    <x v="0"/>
  </r>
  <r>
    <x v="21"/>
    <s v="EUR/vien bez PVN"/>
    <m/>
    <x v="1"/>
    <s v="Liepāja"/>
    <x v="0"/>
  </r>
  <r>
    <x v="15"/>
    <s v="EUR/vien bez PVN"/>
    <n v="0.06"/>
    <x v="1"/>
    <s v="Liepāja"/>
    <x v="0"/>
  </r>
  <r>
    <x v="22"/>
    <s v="EUR/vien bez PVN"/>
    <m/>
    <x v="1"/>
    <s v="Liepāja"/>
    <x v="0"/>
  </r>
  <r>
    <x v="23"/>
    <s v="EUR/vien bez PVN"/>
    <m/>
    <x v="1"/>
    <s v="Liepāja"/>
    <x v="0"/>
  </r>
  <r>
    <x v="24"/>
    <s v="EUR/vien bez PVN"/>
    <m/>
    <x v="1"/>
    <s v="Liepāja"/>
    <x v="0"/>
  </r>
  <r>
    <x v="11"/>
    <m/>
    <n v="123.78"/>
    <x v="2"/>
    <s v="Liepāja"/>
    <x v="0"/>
  </r>
  <r>
    <x v="12"/>
    <m/>
    <m/>
    <x v="2"/>
    <s v="Liepāja"/>
    <x v="0"/>
  </r>
  <r>
    <x v="13"/>
    <s v="litri"/>
    <n v="5"/>
    <x v="2"/>
    <s v="Liepāja"/>
    <x v="0"/>
  </r>
  <r>
    <x v="14"/>
    <s v="litri"/>
    <n v="15"/>
    <x v="2"/>
    <s v="Liepāja"/>
    <x v="0"/>
  </r>
  <r>
    <x v="15"/>
    <s v="gabali"/>
    <m/>
    <x v="2"/>
    <s v="Liepāja"/>
    <x v="0"/>
  </r>
  <r>
    <x v="16"/>
    <s v="ruļļi"/>
    <n v="260"/>
    <x v="2"/>
    <s v="Liepāja"/>
    <x v="0"/>
  </r>
  <r>
    <x v="17"/>
    <s v="gabali"/>
    <n v="5"/>
    <x v="2"/>
    <s v="Liepāja"/>
    <x v="0"/>
  </r>
  <r>
    <x v="18"/>
    <s v="gabali"/>
    <n v="1"/>
    <x v="2"/>
    <s v="Liepāja"/>
    <x v="0"/>
  </r>
  <r>
    <x v="19"/>
    <s v="EUR/vien bez PVN"/>
    <m/>
    <x v="2"/>
    <s v="Liepāja"/>
    <x v="0"/>
  </r>
  <r>
    <x v="20"/>
    <s v="EUR/vien bez PVN"/>
    <n v="2.62"/>
    <x v="2"/>
    <s v="Liepāja"/>
    <x v="0"/>
  </r>
  <r>
    <x v="21"/>
    <s v="EUR/vien bez PVN"/>
    <n v="2.86"/>
    <x v="2"/>
    <s v="Liepāja"/>
    <x v="0"/>
  </r>
  <r>
    <x v="15"/>
    <s v="EUR/vien bez PVN"/>
    <m/>
    <x v="2"/>
    <s v="Liepāja"/>
    <x v="0"/>
  </r>
  <r>
    <x v="22"/>
    <s v="EUR/vien bez PVN"/>
    <n v="0.23"/>
    <x v="2"/>
    <s v="Liepāja"/>
    <x v="0"/>
  </r>
  <r>
    <x v="23"/>
    <s v="EUR/vien bez PVN"/>
    <n v="1.32"/>
    <x v="2"/>
    <s v="Liepāja"/>
    <x v="0"/>
  </r>
  <r>
    <x v="24"/>
    <s v="EUR/vien bez PVN"/>
    <n v="1.38"/>
    <x v="2"/>
    <s v="Liepāja"/>
    <x v="0"/>
  </r>
  <r>
    <x v="25"/>
    <m/>
    <n v="39844.114257586123"/>
    <x v="0"/>
    <s v="Liepāja"/>
    <x v="0"/>
  </r>
  <r>
    <x v="26"/>
    <s v="EUR bez PVN"/>
    <n v="74913.11"/>
    <x v="0"/>
    <s v="Liepāja"/>
    <x v="0"/>
  </r>
  <r>
    <x v="27"/>
    <s v="km"/>
    <n v="146317.28"/>
    <x v="0"/>
    <s v="Liepāja"/>
    <x v="0"/>
  </r>
  <r>
    <x v="28"/>
    <s v="EUR bez PVN"/>
    <n v="139567.43"/>
    <x v="0"/>
    <s v="Liepāja"/>
    <x v="0"/>
  </r>
  <r>
    <x v="29"/>
    <s v="km"/>
    <n v="177950.6856"/>
    <x v="0"/>
    <s v="Liepāja"/>
    <x v="0"/>
  </r>
  <r>
    <x v="25"/>
    <m/>
    <n v="15998.645778817619"/>
    <x v="1"/>
    <s v="Liepāja"/>
    <x v="0"/>
  </r>
  <r>
    <x v="26"/>
    <s v="EUR bez PVN"/>
    <n v="30374.29"/>
    <x v="1"/>
    <s v="Liepāja"/>
    <x v="0"/>
  </r>
  <r>
    <x v="27"/>
    <s v="km"/>
    <n v="64902.77"/>
    <x v="1"/>
    <s v="Liepāja"/>
    <x v="0"/>
  </r>
  <r>
    <x v="28"/>
    <s v="EUR bez PVN"/>
    <n v="46243.24"/>
    <x v="1"/>
    <s v="Liepāja"/>
    <x v="0"/>
  </r>
  <r>
    <x v="29"/>
    <s v="km"/>
    <n v="64721.25"/>
    <x v="1"/>
    <s v="Liepāja"/>
    <x v="0"/>
  </r>
  <r>
    <x v="25"/>
    <m/>
    <n v="13650.344734461389"/>
    <x v="2"/>
    <s v="Liepāja"/>
    <x v="0"/>
  </r>
  <r>
    <x v="26"/>
    <s v="EUR bez PVN"/>
    <n v="24986.48"/>
    <x v="2"/>
    <s v="Liepāja"/>
    <x v="0"/>
  </r>
  <r>
    <x v="27"/>
    <s v="km"/>
    <n v="45021.599999999999"/>
    <x v="2"/>
    <s v="Liepāja"/>
    <x v="0"/>
  </r>
  <r>
    <x v="28"/>
    <s v="EUR bez PVN"/>
    <n v="37906.51"/>
    <x v="2"/>
    <s v="Liepāja"/>
    <x v="0"/>
  </r>
  <r>
    <x v="29"/>
    <s v="km"/>
    <n v="44170.6"/>
    <x v="2"/>
    <s v="Liepāja"/>
    <x v="0"/>
  </r>
  <r>
    <x v="0"/>
    <m/>
    <n v="-650.86077600002432"/>
    <x v="0"/>
    <s v="Liepāja"/>
    <x v="1"/>
  </r>
  <r>
    <x v="1"/>
    <s v="skaits"/>
    <n v="43"/>
    <x v="0"/>
    <s v="Liepāja"/>
    <x v="1"/>
  </r>
  <r>
    <x v="2"/>
    <s v="skaits"/>
    <n v="13150"/>
    <x v="0"/>
    <s v="Liepāja"/>
    <x v="1"/>
  </r>
  <r>
    <x v="3"/>
    <s v="skaits"/>
    <n v="13096"/>
    <x v="0"/>
    <s v="Liepāja"/>
    <x v="1"/>
  </r>
  <r>
    <x v="4"/>
    <s v="skaits"/>
    <n v="6"/>
    <x v="0"/>
    <s v="Liepāja"/>
    <x v="1"/>
  </r>
  <r>
    <x v="5"/>
    <s v="skaits"/>
    <n v="60"/>
    <x v="0"/>
    <s v="Liepāja"/>
    <x v="1"/>
  </r>
  <r>
    <x v="6"/>
    <s v="km"/>
    <n v="189950.31999999998"/>
    <x v="0"/>
    <s v="Liepāja"/>
    <x v="1"/>
  </r>
  <r>
    <x v="7"/>
    <s v="km"/>
    <n v="189546.45999999996"/>
    <x v="0"/>
    <s v="Liepāja"/>
    <x v="1"/>
  </r>
  <r>
    <x v="8"/>
    <s v="km"/>
    <n v="175.74"/>
    <x v="0"/>
    <s v="Liepāja"/>
    <x v="1"/>
  </r>
  <r>
    <x v="9"/>
    <s v="km"/>
    <n v="579.6"/>
    <x v="0"/>
    <s v="Liepāja"/>
    <x v="1"/>
  </r>
  <r>
    <x v="10"/>
    <s v="EUR/km"/>
    <n v="1.6115999999999999"/>
    <x v="0"/>
    <s v="Liepāja"/>
    <x v="1"/>
  </r>
  <r>
    <x v="0"/>
    <m/>
    <n v="-1165.7668399999977"/>
    <x v="1"/>
    <s v="Liepāja"/>
    <x v="1"/>
  </r>
  <r>
    <x v="1"/>
    <s v="skaits"/>
    <n v="13"/>
    <x v="1"/>
    <s v="Liepāja"/>
    <x v="1"/>
  </r>
  <r>
    <x v="2"/>
    <s v="skaits"/>
    <n v="8840"/>
    <x v="1"/>
    <s v="Liepāja"/>
    <x v="1"/>
  </r>
  <r>
    <x v="3"/>
    <s v="skaits"/>
    <n v="8660"/>
    <x v="1"/>
    <s v="Liepāja"/>
    <x v="1"/>
  </r>
  <r>
    <x v="4"/>
    <s v="skaits"/>
    <m/>
    <x v="1"/>
    <s v="Liepāja"/>
    <x v="1"/>
  </r>
  <r>
    <x v="5"/>
    <s v="skaits"/>
    <n v="180"/>
    <x v="1"/>
    <s v="Liepāja"/>
    <x v="1"/>
  </r>
  <r>
    <x v="6"/>
    <s v="km"/>
    <n v="85294.299999999974"/>
    <x v="1"/>
    <s v="Liepāja"/>
    <x v="1"/>
  </r>
  <r>
    <x v="7"/>
    <s v="km"/>
    <n v="83890.099999999977"/>
    <x v="1"/>
    <s v="Liepāja"/>
    <x v="1"/>
  </r>
  <r>
    <x v="8"/>
    <s v="km"/>
    <n v="0"/>
    <x v="1"/>
    <s v="Liepāja"/>
    <x v="1"/>
  </r>
  <r>
    <x v="9"/>
    <s v="km"/>
    <n v="1404.2000000000003"/>
    <x v="1"/>
    <s v="Liepāja"/>
    <x v="1"/>
  </r>
  <r>
    <x v="10"/>
    <s v="EUR/km"/>
    <n v="0.83020000000000005"/>
    <x v="1"/>
    <s v="Liepāja"/>
    <x v="1"/>
  </r>
  <r>
    <x v="0"/>
    <m/>
    <n v="0"/>
    <x v="2"/>
    <s v="Liepāja"/>
    <x v="1"/>
  </r>
  <r>
    <x v="1"/>
    <s v="skaits"/>
    <n v="21"/>
    <x v="2"/>
    <s v="Liepāja"/>
    <x v="1"/>
  </r>
  <r>
    <x v="2"/>
    <s v="skaits"/>
    <n v="7840"/>
    <x v="2"/>
    <s v="Liepāja"/>
    <x v="1"/>
  </r>
  <r>
    <x v="3"/>
    <s v="skaits"/>
    <n v="7840"/>
    <x v="2"/>
    <s v="Liepāja"/>
    <x v="1"/>
  </r>
  <r>
    <x v="4"/>
    <s v="skaits"/>
    <m/>
    <x v="2"/>
    <s v="Liepāja"/>
    <x v="1"/>
  </r>
  <r>
    <x v="5"/>
    <s v="skaits"/>
    <m/>
    <x v="2"/>
    <s v="Liepāja"/>
    <x v="1"/>
  </r>
  <r>
    <x v="6"/>
    <s v="km"/>
    <n v="55825.84"/>
    <x v="2"/>
    <s v="Liepāja"/>
    <x v="1"/>
  </r>
  <r>
    <x v="7"/>
    <s v="km"/>
    <n v="55825.84"/>
    <x v="2"/>
    <s v="Liepāja"/>
    <x v="1"/>
  </r>
  <r>
    <x v="8"/>
    <s v="km"/>
    <n v="0"/>
    <x v="2"/>
    <s v="Liepāja"/>
    <x v="1"/>
  </r>
  <r>
    <x v="9"/>
    <s v="km"/>
    <n v="0"/>
    <x v="2"/>
    <s v="Liepāja"/>
    <x v="1"/>
  </r>
  <r>
    <x v="10"/>
    <s v="EUR/km"/>
    <n v="3.0741999999999998"/>
    <x v="2"/>
    <s v="Liepāja"/>
    <x v="1"/>
  </r>
  <r>
    <x v="11"/>
    <m/>
    <n v="10.65574"/>
    <x v="0"/>
    <s v="Liepāja"/>
    <x v="1"/>
  </r>
  <r>
    <x v="12"/>
    <m/>
    <m/>
    <x v="0"/>
    <s v="Liepāja"/>
    <x v="1"/>
  </r>
  <r>
    <x v="13"/>
    <s v="litri"/>
    <m/>
    <x v="0"/>
    <s v="Liepāja"/>
    <x v="1"/>
  </r>
  <r>
    <x v="30"/>
    <s v="litri"/>
    <m/>
    <x v="0"/>
    <s v="Liepāja"/>
    <x v="1"/>
  </r>
  <r>
    <x v="31"/>
    <s v="gabali"/>
    <n v="1.2644"/>
    <x v="0"/>
    <s v="Liepāja"/>
    <x v="1"/>
  </r>
  <r>
    <x v="15"/>
    <s v="gabali"/>
    <n v="79"/>
    <x v="0"/>
    <s v="Liepāja"/>
    <x v="1"/>
  </r>
  <r>
    <x v="32"/>
    <s v="pāris"/>
    <m/>
    <x v="0"/>
    <s v="Liepāja"/>
    <x v="1"/>
  </r>
  <r>
    <x v="16"/>
    <s v="ruļļi"/>
    <m/>
    <x v="0"/>
    <s v="Liepāja"/>
    <x v="1"/>
  </r>
  <r>
    <x v="33"/>
    <m/>
    <m/>
    <x v="0"/>
    <s v="Liepāja"/>
    <x v="1"/>
  </r>
  <r>
    <x v="34"/>
    <s v="gabali"/>
    <m/>
    <x v="0"/>
    <s v="Liepāja"/>
    <x v="1"/>
  </r>
  <r>
    <x v="19"/>
    <s v="EUR/vien bez PVN"/>
    <m/>
    <x v="0"/>
    <s v="Liepāja"/>
    <x v="1"/>
  </r>
  <r>
    <x v="20"/>
    <s v="EUR/vien bez PVN"/>
    <m/>
    <x v="0"/>
    <s v="Liepāja"/>
    <x v="1"/>
  </r>
  <r>
    <x v="21"/>
    <s v="EUR/vien bez PVN"/>
    <m/>
    <x v="0"/>
    <s v="Liepāja"/>
    <x v="1"/>
  </r>
  <r>
    <x v="31"/>
    <s v="EUR/vien bez PVN"/>
    <n v="4.5"/>
    <x v="0"/>
    <s v="Liepāja"/>
    <x v="1"/>
  </r>
  <r>
    <x v="15"/>
    <s v="EUR/vien bez PVN"/>
    <n v="6.2859999999999999E-2"/>
    <x v="0"/>
    <s v="Liepāja"/>
    <x v="1"/>
  </r>
  <r>
    <x v="32"/>
    <s v="EUR/vien bez PVN"/>
    <m/>
    <x v="0"/>
    <s v="Liepāja"/>
    <x v="1"/>
  </r>
  <r>
    <x v="22"/>
    <s v="EUR/vien bez PVN"/>
    <m/>
    <x v="0"/>
    <s v="Liepāja"/>
    <x v="1"/>
  </r>
  <r>
    <x v="33"/>
    <s v="EUR/vien bez PVN"/>
    <m/>
    <x v="0"/>
    <s v="Liepāja"/>
    <x v="1"/>
  </r>
  <r>
    <x v="34"/>
    <s v="EUR/vien bez PVN"/>
    <m/>
    <x v="0"/>
    <s v="Liepāja"/>
    <x v="1"/>
  </r>
  <r>
    <x v="11"/>
    <m/>
    <n v="7.2198500000000001"/>
    <x v="1"/>
    <s v="Liepāja"/>
    <x v="1"/>
  </r>
  <r>
    <x v="12"/>
    <m/>
    <m/>
    <x v="1"/>
    <s v="Liepāja"/>
    <x v="1"/>
  </r>
  <r>
    <x v="13"/>
    <s v="litri"/>
    <m/>
    <x v="1"/>
    <s v="Liepāja"/>
    <x v="1"/>
  </r>
  <r>
    <x v="30"/>
    <s v="litri"/>
    <m/>
    <x v="1"/>
    <s v="Liepāja"/>
    <x v="1"/>
  </r>
  <r>
    <x v="31"/>
    <s v="gabali"/>
    <n v="1.1154999999999999"/>
    <x v="1"/>
    <s v="Liepāja"/>
    <x v="1"/>
  </r>
  <r>
    <x v="15"/>
    <s v="gabali"/>
    <n v="35"/>
    <x v="1"/>
    <s v="Liepāja"/>
    <x v="1"/>
  </r>
  <r>
    <x v="32"/>
    <s v="pāris"/>
    <m/>
    <x v="1"/>
    <s v="Liepāja"/>
    <x v="1"/>
  </r>
  <r>
    <x v="16"/>
    <s v="ruļļi"/>
    <m/>
    <x v="1"/>
    <s v="Liepāja"/>
    <x v="1"/>
  </r>
  <r>
    <x v="33"/>
    <m/>
    <m/>
    <x v="1"/>
    <s v="Liepāja"/>
    <x v="1"/>
  </r>
  <r>
    <x v="34"/>
    <s v="gabali"/>
    <m/>
    <x v="1"/>
    <s v="Liepāja"/>
    <x v="1"/>
  </r>
  <r>
    <x v="19"/>
    <s v="EUR/vien bez PVN"/>
    <m/>
    <x v="1"/>
    <s v="Liepāja"/>
    <x v="1"/>
  </r>
  <r>
    <x v="20"/>
    <s v="EUR/vien bez PVN"/>
    <m/>
    <x v="1"/>
    <s v="Liepāja"/>
    <x v="1"/>
  </r>
  <r>
    <x v="21"/>
    <s v="EUR/vien bez PVN"/>
    <m/>
    <x v="1"/>
    <s v="Liepāja"/>
    <x v="1"/>
  </r>
  <r>
    <x v="31"/>
    <s v="EUR/vien bez PVN"/>
    <n v="4.5"/>
    <x v="1"/>
    <s v="Liepāja"/>
    <x v="1"/>
  </r>
  <r>
    <x v="15"/>
    <s v="EUR/vien bez PVN"/>
    <n v="6.2859999999999999E-2"/>
    <x v="1"/>
    <s v="Liepāja"/>
    <x v="1"/>
  </r>
  <r>
    <x v="32"/>
    <s v="EUR/vien bez PVN"/>
    <m/>
    <x v="1"/>
    <s v="Liepāja"/>
    <x v="1"/>
  </r>
  <r>
    <x v="22"/>
    <s v="EUR/vien bez PVN"/>
    <m/>
    <x v="1"/>
    <s v="Liepāja"/>
    <x v="1"/>
  </r>
  <r>
    <x v="33"/>
    <s v="EUR/vien bez PVN"/>
    <m/>
    <x v="1"/>
    <s v="Liepāja"/>
    <x v="1"/>
  </r>
  <r>
    <x v="34"/>
    <s v="EUR/vien bez PVN"/>
    <m/>
    <x v="1"/>
    <s v="Liepāja"/>
    <x v="1"/>
  </r>
  <r>
    <x v="11"/>
    <m/>
    <n v="133.11000000000001"/>
    <x v="2"/>
    <s v="Liepāja"/>
    <x v="1"/>
  </r>
  <r>
    <x v="12"/>
    <m/>
    <m/>
    <x v="2"/>
    <s v="Liepāja"/>
    <x v="1"/>
  </r>
  <r>
    <x v="13"/>
    <s v="litri"/>
    <n v="6"/>
    <x v="2"/>
    <s v="Liepāja"/>
    <x v="1"/>
  </r>
  <r>
    <x v="30"/>
    <s v="litri"/>
    <n v="5"/>
    <x v="2"/>
    <s v="Liepāja"/>
    <x v="1"/>
  </r>
  <r>
    <x v="31"/>
    <s v="gabali"/>
    <m/>
    <x v="2"/>
    <s v="Liepāja"/>
    <x v="1"/>
  </r>
  <r>
    <x v="15"/>
    <s v="gabali"/>
    <n v="50"/>
    <x v="2"/>
    <s v="Liepāja"/>
    <x v="1"/>
  </r>
  <r>
    <x v="32"/>
    <s v="pāris"/>
    <n v="27"/>
    <x v="2"/>
    <s v="Liepāja"/>
    <x v="1"/>
  </r>
  <r>
    <x v="16"/>
    <s v="ruļļi"/>
    <n v="233"/>
    <x v="2"/>
    <s v="Liepāja"/>
    <x v="1"/>
  </r>
  <r>
    <x v="33"/>
    <m/>
    <m/>
    <x v="2"/>
    <s v="Liepāja"/>
    <x v="1"/>
  </r>
  <r>
    <x v="34"/>
    <s v="gabali"/>
    <n v="4"/>
    <x v="2"/>
    <s v="Liepāja"/>
    <x v="1"/>
  </r>
  <r>
    <x v="19"/>
    <s v="EUR/vien bez PVN"/>
    <m/>
    <x v="2"/>
    <s v="Liepāja"/>
    <x v="1"/>
  </r>
  <r>
    <x v="20"/>
    <s v="EUR/vien bez PVN"/>
    <n v="2.4700000000000002"/>
    <x v="2"/>
    <s v="Liepāja"/>
    <x v="1"/>
  </r>
  <r>
    <x v="21"/>
    <s v="EUR/vien bez PVN"/>
    <n v="2.86"/>
    <x v="2"/>
    <s v="Liepāja"/>
    <x v="1"/>
  </r>
  <r>
    <x v="31"/>
    <s v="EUR/vien bez PVN"/>
    <m/>
    <x v="2"/>
    <s v="Liepāja"/>
    <x v="1"/>
  </r>
  <r>
    <x v="15"/>
    <s v="EUR/vien bez PVN"/>
    <n v="0.36"/>
    <x v="2"/>
    <s v="Liepāja"/>
    <x v="1"/>
  </r>
  <r>
    <x v="32"/>
    <s v="EUR/vien bez PVN"/>
    <n v="0.68"/>
    <x v="2"/>
    <s v="Liepāja"/>
    <x v="1"/>
  </r>
  <r>
    <x v="22"/>
    <s v="EUR/vien bez PVN"/>
    <n v="0.23"/>
    <x v="2"/>
    <s v="Liepāja"/>
    <x v="1"/>
  </r>
  <r>
    <x v="33"/>
    <s v="EUR/vien bez PVN"/>
    <m/>
    <x v="2"/>
    <s v="Liepāja"/>
    <x v="1"/>
  </r>
  <r>
    <x v="34"/>
    <s v="EUR/vien bez PVN"/>
    <n v="3.51"/>
    <x v="2"/>
    <s v="Liepāja"/>
    <x v="1"/>
  </r>
  <r>
    <x v="25"/>
    <m/>
    <n v="45980.561726162974"/>
    <x v="0"/>
    <s v="Liepāja"/>
    <x v="1"/>
  </r>
  <r>
    <x v="35"/>
    <s v="EUR bez PVN"/>
    <n v="106290.02"/>
    <x v="0"/>
    <s v="Liepāja"/>
    <x v="1"/>
  </r>
  <r>
    <x v="36"/>
    <s v="km"/>
    <n v="189546.45999999996"/>
    <x v="0"/>
    <s v="Liepāja"/>
    <x v="1"/>
  </r>
  <r>
    <x v="37"/>
    <s v="EUR bez PVN"/>
    <n v="191644.13"/>
    <x v="0"/>
    <s v="Liepāja"/>
    <x v="1"/>
  </r>
  <r>
    <x v="38"/>
    <s v="km"/>
    <n v="238558.66320000004"/>
    <x v="0"/>
    <s v="Liepāja"/>
    <x v="1"/>
  </r>
  <r>
    <x v="25"/>
    <m/>
    <n v="18645.098511471824"/>
    <x v="1"/>
    <s v="Liepāja"/>
    <x v="1"/>
  </r>
  <r>
    <x v="35"/>
    <s v="EUR bez PVN"/>
    <n v="42792.34"/>
    <x v="1"/>
    <s v="Liepāja"/>
    <x v="1"/>
  </r>
  <r>
    <x v="36"/>
    <s v="km"/>
    <n v="83890.099999999977"/>
    <x v="1"/>
    <s v="Liepāja"/>
    <x v="1"/>
  </r>
  <r>
    <x v="37"/>
    <s v="EUR bez PVN"/>
    <n v="61663.18"/>
    <x v="1"/>
    <s v="Liepāja"/>
    <x v="1"/>
  </r>
  <r>
    <x v="38"/>
    <s v="km"/>
    <n v="84198.34"/>
    <x v="1"/>
    <s v="Liepāja"/>
    <x v="1"/>
  </r>
  <r>
    <x v="25"/>
    <m/>
    <n v="14026.174224572578"/>
    <x v="2"/>
    <s v="Liepāja"/>
    <x v="1"/>
  </r>
  <r>
    <x v="35"/>
    <s v="EUR bez PVN"/>
    <n v="34312.14"/>
    <x v="2"/>
    <s v="Liepāja"/>
    <x v="1"/>
  </r>
  <r>
    <x v="36"/>
    <s v="km"/>
    <n v="55825.84"/>
    <x v="2"/>
    <s v="Liepāja"/>
    <x v="1"/>
  </r>
  <r>
    <x v="37"/>
    <s v="EUR bez PVN"/>
    <n v="50074.54"/>
    <x v="2"/>
    <s v="Liepāja"/>
    <x v="1"/>
  </r>
  <r>
    <x v="38"/>
    <s v="km"/>
    <n v="57831.004306983945"/>
    <x v="2"/>
    <s v="Liepāja"/>
    <x v="1"/>
  </r>
  <r>
    <x v="0"/>
    <m/>
    <n v="-943.53084000000945"/>
    <x v="0"/>
    <s v="Liepāja"/>
    <x v="2"/>
  </r>
  <r>
    <x v="1"/>
    <s v="skaits"/>
    <n v="43"/>
    <x v="0"/>
    <s v="Liepāja"/>
    <x v="2"/>
  </r>
  <r>
    <x v="2"/>
    <s v="skaits"/>
    <n v="13585"/>
    <x v="0"/>
    <s v="Liepāja"/>
    <x v="2"/>
  </r>
  <r>
    <x v="3"/>
    <s v="skaits"/>
    <n v="13525"/>
    <x v="0"/>
    <s v="Liepāja"/>
    <x v="2"/>
  </r>
  <r>
    <x v="4"/>
    <s v="skaits"/>
    <n v="0"/>
    <x v="0"/>
    <s v="Liepāja"/>
    <x v="2"/>
  </r>
  <r>
    <x v="5"/>
    <s v="skaits"/>
    <n v="60"/>
    <x v="0"/>
    <s v="Liepāja"/>
    <x v="2"/>
  </r>
  <r>
    <x v="6"/>
    <s v="km"/>
    <n v="197049.46"/>
    <x v="0"/>
    <s v="Liepāja"/>
    <x v="2"/>
  </r>
  <r>
    <x v="7"/>
    <s v="km"/>
    <n v="196469.86"/>
    <x v="0"/>
    <s v="Liepāja"/>
    <x v="2"/>
  </r>
  <r>
    <x v="8"/>
    <s v="km"/>
    <n v="0"/>
    <x v="0"/>
    <s v="Liepāja"/>
    <x v="2"/>
  </r>
  <r>
    <x v="9"/>
    <s v="km"/>
    <n v="579.6"/>
    <x v="0"/>
    <s v="Liepāja"/>
    <x v="2"/>
  </r>
  <r>
    <x v="10"/>
    <s v="EUR/km"/>
    <n v="1.6278999999999999"/>
    <x v="0"/>
    <s v="Liepāja"/>
    <x v="2"/>
  </r>
  <r>
    <x v="0"/>
    <m/>
    <n v="-1180.2300999999975"/>
    <x v="1"/>
    <s v="Liepāja"/>
    <x v="2"/>
  </r>
  <r>
    <x v="1"/>
    <s v="skaits"/>
    <n v="13"/>
    <x v="1"/>
    <s v="Liepāja"/>
    <x v="2"/>
  </r>
  <r>
    <x v="2"/>
    <s v="skaits"/>
    <n v="9102"/>
    <x v="1"/>
    <s v="Liepāja"/>
    <x v="2"/>
  </r>
  <r>
    <x v="3"/>
    <s v="skaits"/>
    <n v="8922"/>
    <x v="1"/>
    <s v="Liepāja"/>
    <x v="2"/>
  </r>
  <r>
    <x v="4"/>
    <s v="skaits"/>
    <n v="0"/>
    <x v="1"/>
    <s v="Liepāja"/>
    <x v="2"/>
  </r>
  <r>
    <x v="5"/>
    <s v="skaits"/>
    <n v="180"/>
    <x v="1"/>
    <s v="Liepāja"/>
    <x v="2"/>
  </r>
  <r>
    <x v="6"/>
    <s v="km"/>
    <n v="87623.539999999979"/>
    <x v="1"/>
    <s v="Liepāja"/>
    <x v="2"/>
  </r>
  <r>
    <x v="7"/>
    <s v="km"/>
    <n v="86219.339999999982"/>
    <x v="1"/>
    <s v="Liepāja"/>
    <x v="2"/>
  </r>
  <r>
    <x v="8"/>
    <s v="km"/>
    <n v="0"/>
    <x v="1"/>
    <s v="Liepāja"/>
    <x v="2"/>
  </r>
  <r>
    <x v="9"/>
    <s v="km"/>
    <n v="1404.2000000000003"/>
    <x v="1"/>
    <s v="Liepāja"/>
    <x v="2"/>
  </r>
  <r>
    <x v="10"/>
    <s v="EUR/km"/>
    <n v="0.84050000000000002"/>
    <x v="1"/>
    <s v="Liepāja"/>
    <x v="2"/>
  </r>
  <r>
    <x v="0"/>
    <m/>
    <n v="0"/>
    <x v="2"/>
    <s v="Liepāja"/>
    <x v="2"/>
  </r>
  <r>
    <x v="1"/>
    <s v="skaits"/>
    <n v="21"/>
    <x v="2"/>
    <s v="Liepāja"/>
    <x v="2"/>
  </r>
  <r>
    <x v="2"/>
    <s v="skaits"/>
    <n v="8072"/>
    <x v="2"/>
    <s v="Liepāja"/>
    <x v="2"/>
  </r>
  <r>
    <x v="3"/>
    <s v="skaits"/>
    <n v="8072"/>
    <x v="2"/>
    <s v="Liepāja"/>
    <x v="2"/>
  </r>
  <r>
    <x v="4"/>
    <s v="skaits"/>
    <n v="0"/>
    <x v="2"/>
    <s v="Liepāja"/>
    <x v="2"/>
  </r>
  <r>
    <x v="5"/>
    <s v="skaits"/>
    <n v="0"/>
    <x v="2"/>
    <s v="Liepāja"/>
    <x v="2"/>
  </r>
  <r>
    <x v="6"/>
    <s v="km"/>
    <n v="57478.28"/>
    <x v="2"/>
    <s v="Liepāja"/>
    <x v="2"/>
  </r>
  <r>
    <x v="7"/>
    <s v="km"/>
    <n v="57478.28"/>
    <x v="2"/>
    <s v="Liepāja"/>
    <x v="2"/>
  </r>
  <r>
    <x v="8"/>
    <s v="km"/>
    <n v="0"/>
    <x v="2"/>
    <s v="Liepāja"/>
    <x v="2"/>
  </r>
  <r>
    <x v="9"/>
    <s v="km"/>
    <n v="0"/>
    <x v="2"/>
    <s v="Liepāja"/>
    <x v="2"/>
  </r>
  <r>
    <x v="10"/>
    <s v="EUR/km"/>
    <n v="3.0813999999999999"/>
    <x v="2"/>
    <s v="Liepāja"/>
    <x v="2"/>
  </r>
  <r>
    <x v="11"/>
    <m/>
    <n v="0"/>
    <x v="0"/>
    <s v="Liepāja"/>
    <x v="2"/>
  </r>
  <r>
    <x v="12"/>
    <m/>
    <n v="0"/>
    <x v="0"/>
    <s v="Liepāja"/>
    <x v="2"/>
  </r>
  <r>
    <x v="13"/>
    <s v="litri"/>
    <n v="0"/>
    <x v="0"/>
    <s v="Liepāja"/>
    <x v="2"/>
  </r>
  <r>
    <x v="30"/>
    <s v="litri"/>
    <n v="0"/>
    <x v="0"/>
    <s v="Liepāja"/>
    <x v="2"/>
  </r>
  <r>
    <x v="39"/>
    <s v="litri"/>
    <n v="0"/>
    <x v="0"/>
    <s v="Liepāja"/>
    <x v="2"/>
  </r>
  <r>
    <x v="39"/>
    <s v="litri"/>
    <n v="0"/>
    <x v="0"/>
    <s v="Liepāja"/>
    <x v="2"/>
  </r>
  <r>
    <x v="15"/>
    <s v="gabali"/>
    <n v="0"/>
    <x v="0"/>
    <s v="Liepāja"/>
    <x v="2"/>
  </r>
  <r>
    <x v="40"/>
    <s v="pāris"/>
    <n v="0"/>
    <x v="0"/>
    <s v="Liepāja"/>
    <x v="2"/>
  </r>
  <r>
    <x v="32"/>
    <s v="gabali"/>
    <n v="0"/>
    <x v="0"/>
    <s v="Liepāja"/>
    <x v="2"/>
  </r>
  <r>
    <x v="16"/>
    <s v="ruļļi"/>
    <n v="0"/>
    <x v="0"/>
    <s v="Liepāja"/>
    <x v="2"/>
  </r>
  <r>
    <x v="16"/>
    <s v="ruļļi"/>
    <n v="0"/>
    <x v="0"/>
    <s v="Liepāja"/>
    <x v="2"/>
  </r>
  <r>
    <x v="19"/>
    <s v="EUR/vien bez PVN"/>
    <n v="0"/>
    <x v="0"/>
    <s v="Liepāja"/>
    <x v="2"/>
  </r>
  <r>
    <x v="20"/>
    <s v="EUR/vien bez PVN"/>
    <n v="0"/>
    <x v="0"/>
    <s v="Liepāja"/>
    <x v="2"/>
  </r>
  <r>
    <x v="21"/>
    <s v="EUR/vien bez PVN"/>
    <n v="0"/>
    <x v="0"/>
    <s v="Liepāja"/>
    <x v="2"/>
  </r>
  <r>
    <x v="41"/>
    <s v="EUR/vien bez PVN"/>
    <n v="0"/>
    <x v="0"/>
    <s v="Liepāja"/>
    <x v="2"/>
  </r>
  <r>
    <x v="41"/>
    <s v="EUR/vien bez PVN"/>
    <n v="0"/>
    <x v="0"/>
    <s v="Liepāja"/>
    <x v="2"/>
  </r>
  <r>
    <x v="42"/>
    <s v="EUR/vien bez PVN"/>
    <n v="0"/>
    <x v="0"/>
    <s v="Liepāja"/>
    <x v="2"/>
  </r>
  <r>
    <x v="43"/>
    <s v="EUR/vien bez PVN"/>
    <n v="0"/>
    <x v="0"/>
    <s v="Liepāja"/>
    <x v="2"/>
  </r>
  <r>
    <x v="44"/>
    <s v="EUR/vien bez PVN"/>
    <n v="0"/>
    <x v="0"/>
    <s v="Liepāja"/>
    <x v="2"/>
  </r>
  <r>
    <x v="22"/>
    <s v="EUR/vien bez PVN"/>
    <n v="0"/>
    <x v="0"/>
    <s v="Liepāja"/>
    <x v="2"/>
  </r>
  <r>
    <x v="22"/>
    <s v="EUR/vien bez PVN"/>
    <n v="0"/>
    <x v="0"/>
    <s v="Liepāja"/>
    <x v="2"/>
  </r>
  <r>
    <x v="11"/>
    <m/>
    <n v="0"/>
    <x v="1"/>
    <s v="Liepāja"/>
    <x v="2"/>
  </r>
  <r>
    <x v="12"/>
    <m/>
    <n v="0"/>
    <x v="1"/>
    <s v="Liepāja"/>
    <x v="2"/>
  </r>
  <r>
    <x v="13"/>
    <s v="litri"/>
    <n v="0"/>
    <x v="1"/>
    <s v="Liepāja"/>
    <x v="2"/>
  </r>
  <r>
    <x v="30"/>
    <s v="litri"/>
    <n v="0"/>
    <x v="1"/>
    <s v="Liepāja"/>
    <x v="2"/>
  </r>
  <r>
    <x v="39"/>
    <s v="litri"/>
    <n v="0"/>
    <x v="1"/>
    <s v="Liepāja"/>
    <x v="2"/>
  </r>
  <r>
    <x v="39"/>
    <s v="litri"/>
    <n v="0"/>
    <x v="1"/>
    <s v="Liepāja"/>
    <x v="2"/>
  </r>
  <r>
    <x v="15"/>
    <s v="gabali"/>
    <n v="0"/>
    <x v="1"/>
    <s v="Liepāja"/>
    <x v="2"/>
  </r>
  <r>
    <x v="40"/>
    <s v="pāris"/>
    <n v="0"/>
    <x v="1"/>
    <s v="Liepāja"/>
    <x v="2"/>
  </r>
  <r>
    <x v="32"/>
    <s v="gabali"/>
    <n v="0"/>
    <x v="1"/>
    <s v="Liepāja"/>
    <x v="2"/>
  </r>
  <r>
    <x v="16"/>
    <s v="ruļļi"/>
    <n v="0"/>
    <x v="1"/>
    <s v="Liepāja"/>
    <x v="2"/>
  </r>
  <r>
    <x v="16"/>
    <s v="ruļļi"/>
    <n v="0"/>
    <x v="1"/>
    <s v="Liepāja"/>
    <x v="2"/>
  </r>
  <r>
    <x v="19"/>
    <s v="EUR/vien bez PVN"/>
    <n v="0"/>
    <x v="1"/>
    <s v="Liepāja"/>
    <x v="2"/>
  </r>
  <r>
    <x v="20"/>
    <s v="EUR/vien bez PVN"/>
    <n v="0"/>
    <x v="1"/>
    <s v="Liepāja"/>
    <x v="2"/>
  </r>
  <r>
    <x v="21"/>
    <s v="EUR/vien bez PVN"/>
    <n v="0"/>
    <x v="1"/>
    <s v="Liepāja"/>
    <x v="2"/>
  </r>
  <r>
    <x v="41"/>
    <s v="EUR/vien bez PVN"/>
    <n v="0"/>
    <x v="1"/>
    <s v="Liepāja"/>
    <x v="2"/>
  </r>
  <r>
    <x v="41"/>
    <s v="EUR/vien bez PVN"/>
    <n v="0"/>
    <x v="1"/>
    <s v="Liepāja"/>
    <x v="2"/>
  </r>
  <r>
    <x v="42"/>
    <s v="EUR/vien bez PVN"/>
    <n v="0"/>
    <x v="1"/>
    <s v="Liepāja"/>
    <x v="2"/>
  </r>
  <r>
    <x v="43"/>
    <s v="EUR/vien bez PVN"/>
    <n v="0"/>
    <x v="1"/>
    <s v="Liepāja"/>
    <x v="2"/>
  </r>
  <r>
    <x v="44"/>
    <s v="EUR/vien bez PVN"/>
    <n v="0"/>
    <x v="1"/>
    <s v="Liepāja"/>
    <x v="2"/>
  </r>
  <r>
    <x v="22"/>
    <s v="EUR/vien bez PVN"/>
    <n v="0"/>
    <x v="1"/>
    <s v="Liepāja"/>
    <x v="2"/>
  </r>
  <r>
    <x v="22"/>
    <s v="EUR/vien bez PVN"/>
    <n v="0"/>
    <x v="1"/>
    <s v="Liepāja"/>
    <x v="2"/>
  </r>
  <r>
    <x v="11"/>
    <m/>
    <n v="95.358699999999999"/>
    <x v="2"/>
    <s v="Liepāja"/>
    <x v="2"/>
  </r>
  <r>
    <x v="12"/>
    <m/>
    <m/>
    <x v="2"/>
    <s v="Liepāja"/>
    <x v="2"/>
  </r>
  <r>
    <x v="13"/>
    <s v="litri"/>
    <n v="9"/>
    <x v="2"/>
    <s v="Liepāja"/>
    <x v="2"/>
  </r>
  <r>
    <x v="30"/>
    <s v="litri"/>
    <n v="5"/>
    <x v="2"/>
    <s v="Liepāja"/>
    <x v="2"/>
  </r>
  <r>
    <x v="39"/>
    <s v="litri"/>
    <n v="5"/>
    <x v="2"/>
    <s v="Liepāja"/>
    <x v="2"/>
  </r>
  <r>
    <x v="39"/>
    <s v="litri"/>
    <n v="2"/>
    <x v="2"/>
    <s v="Liepāja"/>
    <x v="2"/>
  </r>
  <r>
    <x v="15"/>
    <s v="gabali"/>
    <n v="10"/>
    <x v="2"/>
    <s v="Liepāja"/>
    <x v="2"/>
  </r>
  <r>
    <x v="40"/>
    <s v="pāris"/>
    <n v="1"/>
    <x v="2"/>
    <s v="Liepāja"/>
    <x v="2"/>
  </r>
  <r>
    <x v="32"/>
    <s v="gabali"/>
    <n v="46"/>
    <x v="2"/>
    <s v="Liepāja"/>
    <x v="2"/>
  </r>
  <r>
    <x v="16"/>
    <s v="ruļļi"/>
    <n v="37"/>
    <x v="2"/>
    <s v="Liepāja"/>
    <x v="2"/>
  </r>
  <r>
    <x v="16"/>
    <s v="ruļļi"/>
    <n v="33"/>
    <x v="2"/>
    <s v="Liepāja"/>
    <x v="2"/>
  </r>
  <r>
    <x v="19"/>
    <s v="EUR/vien bez PVN"/>
    <m/>
    <x v="2"/>
    <s v="Liepāja"/>
    <x v="2"/>
  </r>
  <r>
    <x v="20"/>
    <s v="EUR/vien bez PVN"/>
    <n v="2.4700000000000002"/>
    <x v="2"/>
    <s v="Liepāja"/>
    <x v="2"/>
  </r>
  <r>
    <x v="21"/>
    <s v="EUR/vien bez PVN"/>
    <n v="2.8620000000000001"/>
    <x v="2"/>
    <s v="Liepāja"/>
    <x v="2"/>
  </r>
  <r>
    <x v="41"/>
    <s v="EUR/vien bez PVN"/>
    <n v="2.5139999999999998"/>
    <x v="2"/>
    <s v="Liepāja"/>
    <x v="2"/>
  </r>
  <r>
    <x v="41"/>
    <s v="EUR/vien bez PVN"/>
    <n v="5.31"/>
    <x v="2"/>
    <s v="Liepāja"/>
    <x v="2"/>
  </r>
  <r>
    <x v="42"/>
    <s v="EUR/vien bez PVN"/>
    <n v="0.35699999999999998"/>
    <x v="2"/>
    <s v="Liepāja"/>
    <x v="2"/>
  </r>
  <r>
    <x v="43"/>
    <s v="EUR/vien bez PVN"/>
    <n v="0.56000000000000005"/>
    <x v="2"/>
    <s v="Liepāja"/>
    <x v="2"/>
  </r>
  <r>
    <x v="44"/>
    <s v="EUR/vien bez PVN"/>
    <n v="0.34"/>
    <x v="2"/>
    <s v="Liepāja"/>
    <x v="2"/>
  </r>
  <r>
    <x v="22"/>
    <s v="EUR/vien bez PVN"/>
    <n v="0.22"/>
    <x v="2"/>
    <s v="Liepāja"/>
    <x v="2"/>
  </r>
  <r>
    <x v="22"/>
    <s v="EUR/vien bez PVN"/>
    <n v="0.2339"/>
    <x v="2"/>
    <s v="Liepāja"/>
    <x v="2"/>
  </r>
  <r>
    <x v="25"/>
    <m/>
    <n v="37892.127555498118"/>
    <x v="0"/>
    <s v="Liepāja"/>
    <x v="2"/>
  </r>
  <r>
    <x v="45"/>
    <s v="EUR bez PVN"/>
    <n v="114554.52219309782"/>
    <x v="0"/>
    <s v="Liepāja"/>
    <x v="2"/>
  </r>
  <r>
    <x v="46"/>
    <s v="km"/>
    <n v="196469.86"/>
    <x v="0"/>
    <s v="Liepāja"/>
    <x v="2"/>
  </r>
  <r>
    <x v="47"/>
    <s v="EUR bez PVN"/>
    <n v="193164.92440684114"/>
    <x v="0"/>
    <s v="Liepāja"/>
    <x v="2"/>
  </r>
  <r>
    <x v="48"/>
    <s v="km"/>
    <n v="248946.66900000008"/>
    <x v="0"/>
    <s v="Liepāja"/>
    <x v="2"/>
  </r>
  <r>
    <x v="25"/>
    <m/>
    <n v="15730.163169870544"/>
    <x v="1"/>
    <s v="Liepāja"/>
    <x v="2"/>
  </r>
  <r>
    <x v="45"/>
    <s v="EUR bez PVN"/>
    <n v="45150.817637916865"/>
    <x v="1"/>
    <s v="Liepāja"/>
    <x v="2"/>
  </r>
  <r>
    <x v="46"/>
    <s v="km"/>
    <n v="86219.339999999982"/>
    <x v="1"/>
    <s v="Liepāja"/>
    <x v="2"/>
  </r>
  <r>
    <x v="47"/>
    <s v="EUR bez PVN"/>
    <n v="61139.621039261932"/>
    <x v="1"/>
    <s v="Liepāja"/>
    <x v="2"/>
  </r>
  <r>
    <x v="48"/>
    <s v="km"/>
    <n v="86585.624999999985"/>
    <x v="1"/>
    <s v="Liepāja"/>
    <x v="2"/>
  </r>
  <r>
    <x v="25"/>
    <m/>
    <n v="10102.968149693032"/>
    <x v="2"/>
    <s v="Liepāja"/>
    <x v="2"/>
  </r>
  <r>
    <x v="45"/>
    <s v="EUR bez PVN"/>
    <n v="37767.140168985352"/>
    <x v="2"/>
    <s v="Liepāja"/>
    <x v="2"/>
  </r>
  <r>
    <x v="46"/>
    <s v="km"/>
    <n v="57478.28"/>
    <x v="2"/>
    <s v="Liepāja"/>
    <x v="2"/>
  </r>
  <r>
    <x v="47"/>
    <s v="EUR bez PVN"/>
    <n v="49957.304553896967"/>
    <x v="2"/>
    <s v="Liepāja"/>
    <x v="2"/>
  </r>
  <r>
    <x v="48"/>
    <s v="km"/>
    <n v="59984.404465484637"/>
    <x v="2"/>
    <s v="Liepāja"/>
    <x v="2"/>
  </r>
  <r>
    <x v="0"/>
    <m/>
    <n v="0"/>
    <x v="0"/>
    <s v="Liepāja"/>
    <x v="3"/>
  </r>
  <r>
    <x v="1"/>
    <s v="skaits"/>
    <n v="43"/>
    <x v="0"/>
    <s v="Liepāja"/>
    <x v="3"/>
  </r>
  <r>
    <x v="2"/>
    <s v="skaits"/>
    <n v="12790"/>
    <x v="0"/>
    <s v="Liepāja"/>
    <x v="3"/>
  </r>
  <r>
    <x v="3"/>
    <s v="skaits"/>
    <n v="12790"/>
    <x v="0"/>
    <s v="Liepāja"/>
    <x v="3"/>
  </r>
  <r>
    <x v="4"/>
    <s v="skaits"/>
    <n v="0"/>
    <x v="0"/>
    <s v="Liepāja"/>
    <x v="3"/>
  </r>
  <r>
    <x v="5"/>
    <s v="skaits"/>
    <n v="0"/>
    <x v="0"/>
    <s v="Liepāja"/>
    <x v="3"/>
  </r>
  <r>
    <x v="6"/>
    <s v="km"/>
    <n v="185411.79999999996"/>
    <x v="0"/>
    <s v="Liepāja"/>
    <x v="3"/>
  </r>
  <r>
    <x v="7"/>
    <s v="km"/>
    <n v="185411.79999999996"/>
    <x v="0"/>
    <s v="Liepāja"/>
    <x v="3"/>
  </r>
  <r>
    <x v="8"/>
    <s v="km"/>
    <n v="0"/>
    <x v="0"/>
    <s v="Liepāja"/>
    <x v="3"/>
  </r>
  <r>
    <x v="9"/>
    <s v="km"/>
    <n v="0"/>
    <x v="0"/>
    <s v="Liepāja"/>
    <x v="3"/>
  </r>
  <r>
    <x v="10"/>
    <s v="EUR/km"/>
    <n v="1.6343000000000001"/>
    <x v="0"/>
    <s v="Liepāja"/>
    <x v="3"/>
  </r>
  <r>
    <x v="0"/>
    <m/>
    <n v="0"/>
    <x v="1"/>
    <s v="Liepāja"/>
    <x v="3"/>
  </r>
  <r>
    <x v="1"/>
    <s v="skaits"/>
    <n v="13"/>
    <x v="1"/>
    <s v="Liepāja"/>
    <x v="3"/>
  </r>
  <r>
    <x v="2"/>
    <s v="skaits"/>
    <n v="8660"/>
    <x v="1"/>
    <s v="Liepāja"/>
    <x v="3"/>
  </r>
  <r>
    <x v="3"/>
    <s v="skaits"/>
    <n v="8660"/>
    <x v="1"/>
    <s v="Liepāja"/>
    <x v="3"/>
  </r>
  <r>
    <x v="4"/>
    <s v="skaits"/>
    <n v="0"/>
    <x v="1"/>
    <s v="Liepāja"/>
    <x v="3"/>
  </r>
  <r>
    <x v="5"/>
    <s v="skaits"/>
    <n v="0"/>
    <x v="1"/>
    <s v="Liepāja"/>
    <x v="3"/>
  </r>
  <r>
    <x v="6"/>
    <s v="km"/>
    <n v="84612.799999999988"/>
    <x v="1"/>
    <s v="Liepāja"/>
    <x v="3"/>
  </r>
  <r>
    <x v="7"/>
    <s v="km"/>
    <n v="84612.799999999988"/>
    <x v="1"/>
    <s v="Liepāja"/>
    <x v="3"/>
  </r>
  <r>
    <x v="8"/>
    <s v="km"/>
    <n v="0"/>
    <x v="1"/>
    <s v="Liepāja"/>
    <x v="3"/>
  </r>
  <r>
    <x v="9"/>
    <s v="km"/>
    <n v="0"/>
    <x v="1"/>
    <s v="Liepāja"/>
    <x v="3"/>
  </r>
  <r>
    <x v="10"/>
    <s v="EUR/km"/>
    <n v="0.84199999999999997"/>
    <x v="1"/>
    <s v="Liepāja"/>
    <x v="3"/>
  </r>
  <r>
    <x v="0"/>
    <m/>
    <n v="0"/>
    <x v="2"/>
    <s v="Liepāja"/>
    <x v="3"/>
  </r>
  <r>
    <x v="1"/>
    <s v="skaits"/>
    <n v="20"/>
    <x v="2"/>
    <s v="Liepāja"/>
    <x v="3"/>
  </r>
  <r>
    <x v="2"/>
    <s v="skaits"/>
    <n v="7840"/>
    <x v="2"/>
    <s v="Liepāja"/>
    <x v="3"/>
  </r>
  <r>
    <x v="3"/>
    <s v="skaits"/>
    <n v="7840"/>
    <x v="2"/>
    <s v="Liepāja"/>
    <x v="3"/>
  </r>
  <r>
    <x v="4"/>
    <s v="skaits"/>
    <n v="0"/>
    <x v="2"/>
    <s v="Liepāja"/>
    <x v="3"/>
  </r>
  <r>
    <x v="5"/>
    <s v="skaits"/>
    <n v="0"/>
    <x v="2"/>
    <s v="Liepāja"/>
    <x v="3"/>
  </r>
  <r>
    <x v="6"/>
    <s v="km"/>
    <n v="55825.820000000007"/>
    <x v="2"/>
    <s v="Liepāja"/>
    <x v="3"/>
  </r>
  <r>
    <x v="7"/>
    <s v="km"/>
    <n v="55825.820000000007"/>
    <x v="2"/>
    <s v="Liepāja"/>
    <x v="3"/>
  </r>
  <r>
    <x v="8"/>
    <s v="km"/>
    <n v="0"/>
    <x v="2"/>
    <s v="Liepāja"/>
    <x v="3"/>
  </r>
  <r>
    <x v="9"/>
    <s v="km"/>
    <n v="0"/>
    <x v="2"/>
    <s v="Liepāja"/>
    <x v="3"/>
  </r>
  <r>
    <x v="10"/>
    <s v="EUR/km"/>
    <n v="3.0809000000000002"/>
    <x v="2"/>
    <s v="Liepāja"/>
    <x v="3"/>
  </r>
  <r>
    <x v="11"/>
    <m/>
    <n v="8.8861999999999988"/>
    <x v="0"/>
    <s v="Liepāja"/>
    <x v="3"/>
  </r>
  <r>
    <x v="12"/>
    <m/>
    <m/>
    <x v="0"/>
    <s v="Liepāja"/>
    <x v="3"/>
  </r>
  <r>
    <x v="13"/>
    <s v="litri"/>
    <m/>
    <x v="0"/>
    <s v="Liepāja"/>
    <x v="3"/>
  </r>
  <r>
    <x v="49"/>
    <s v="litri"/>
    <m/>
    <x v="0"/>
    <s v="Liepāja"/>
    <x v="3"/>
  </r>
  <r>
    <x v="50"/>
    <s v="litri"/>
    <m/>
    <x v="0"/>
    <s v="Liepāja"/>
    <x v="3"/>
  </r>
  <r>
    <x v="30"/>
    <s v="litri"/>
    <m/>
    <x v="0"/>
    <s v="Liepāja"/>
    <x v="3"/>
  </r>
  <r>
    <x v="51"/>
    <s v="litri"/>
    <m/>
    <x v="0"/>
    <s v="Liepāja"/>
    <x v="3"/>
  </r>
  <r>
    <x v="52"/>
    <s v="gabali"/>
    <m/>
    <x v="0"/>
    <s v="Liepāja"/>
    <x v="3"/>
  </r>
  <r>
    <x v="53"/>
    <s v="gabali"/>
    <m/>
    <x v="0"/>
    <s v="Liepāja"/>
    <x v="3"/>
  </r>
  <r>
    <x v="16"/>
    <s v="ruļļi"/>
    <m/>
    <x v="0"/>
    <s v="Liepāja"/>
    <x v="3"/>
  </r>
  <r>
    <x v="54"/>
    <s v="gabali"/>
    <n v="0.745"/>
    <x v="0"/>
    <s v="Liepāja"/>
    <x v="3"/>
  </r>
  <r>
    <x v="55"/>
    <s v="gabali"/>
    <n v="44"/>
    <x v="0"/>
    <s v="Liepāja"/>
    <x v="3"/>
  </r>
  <r>
    <x v="56"/>
    <s v="gabali"/>
    <n v="45"/>
    <x v="0"/>
    <s v="Liepāja"/>
    <x v="3"/>
  </r>
  <r>
    <x v="19"/>
    <s v="EUR/vien bez PVN"/>
    <m/>
    <x v="0"/>
    <s v="Liepāja"/>
    <x v="3"/>
  </r>
  <r>
    <x v="13"/>
    <s v="EUR/vien bez PVN"/>
    <m/>
    <x v="0"/>
    <s v="Liepāja"/>
    <x v="3"/>
  </r>
  <r>
    <x v="49"/>
    <s v="EUR/vien bez PVN"/>
    <m/>
    <x v="0"/>
    <s v="Liepāja"/>
    <x v="3"/>
  </r>
  <r>
    <x v="50"/>
    <s v="EUR/vien bez PVN"/>
    <m/>
    <x v="0"/>
    <s v="Liepāja"/>
    <x v="3"/>
  </r>
  <r>
    <x v="30"/>
    <s v="EUR/vien bez PVN"/>
    <m/>
    <x v="0"/>
    <s v="Liepāja"/>
    <x v="3"/>
  </r>
  <r>
    <x v="51"/>
    <s v="EUR/vien bez PVN"/>
    <m/>
    <x v="0"/>
    <s v="Liepāja"/>
    <x v="3"/>
  </r>
  <r>
    <x v="52"/>
    <s v="EUR/vien bez PVN"/>
    <m/>
    <x v="0"/>
    <s v="Liepāja"/>
    <x v="3"/>
  </r>
  <r>
    <x v="53"/>
    <s v="EUR/vien bez PVN"/>
    <m/>
    <x v="0"/>
    <s v="Liepāja"/>
    <x v="3"/>
  </r>
  <r>
    <x v="16"/>
    <s v="EUR/vien bez PVN"/>
    <m/>
    <x v="0"/>
    <s v="Liepāja"/>
    <x v="3"/>
  </r>
  <r>
    <x v="54"/>
    <s v="EUR/vien bez PVN"/>
    <n v="4.76"/>
    <x v="0"/>
    <s v="Liepāja"/>
    <x v="3"/>
  </r>
  <r>
    <x v="55"/>
    <s v="EUR/vien bez PVN"/>
    <n v="0.06"/>
    <x v="0"/>
    <s v="Liepāja"/>
    <x v="3"/>
  </r>
  <r>
    <x v="57"/>
    <s v="EUR/vien bez PVN"/>
    <n v="0.06"/>
    <x v="0"/>
    <s v="Liepāja"/>
    <x v="3"/>
  </r>
  <r>
    <x v="11"/>
    <m/>
    <n v="4.0498159999999999"/>
    <x v="1"/>
    <s v="Liepāja"/>
    <x v="3"/>
  </r>
  <r>
    <x v="12"/>
    <m/>
    <m/>
    <x v="1"/>
    <s v="Liepāja"/>
    <x v="3"/>
  </r>
  <r>
    <x v="13"/>
    <s v="litri"/>
    <m/>
    <x v="1"/>
    <s v="Liepāja"/>
    <x v="3"/>
  </r>
  <r>
    <x v="49"/>
    <s v="litri"/>
    <m/>
    <x v="1"/>
    <s v="Liepāja"/>
    <x v="3"/>
  </r>
  <r>
    <x v="50"/>
    <s v="litri"/>
    <m/>
    <x v="1"/>
    <s v="Liepāja"/>
    <x v="3"/>
  </r>
  <r>
    <x v="30"/>
    <s v="litri"/>
    <m/>
    <x v="1"/>
    <s v="Liepāja"/>
    <x v="3"/>
  </r>
  <r>
    <x v="51"/>
    <s v="litri"/>
    <m/>
    <x v="1"/>
    <s v="Liepāja"/>
    <x v="3"/>
  </r>
  <r>
    <x v="52"/>
    <s v="gabali"/>
    <m/>
    <x v="1"/>
    <s v="Liepāja"/>
    <x v="3"/>
  </r>
  <r>
    <x v="53"/>
    <s v="gabali"/>
    <m/>
    <x v="1"/>
    <s v="Liepāja"/>
    <x v="3"/>
  </r>
  <r>
    <x v="16"/>
    <s v="ruļļi"/>
    <m/>
    <x v="1"/>
    <s v="Liepāja"/>
    <x v="3"/>
  </r>
  <r>
    <x v="54"/>
    <s v="gabali"/>
    <n v="0.34660000000000002"/>
    <x v="1"/>
    <s v="Liepāja"/>
    <x v="3"/>
  </r>
  <r>
    <x v="55"/>
    <s v="gabali"/>
    <n v="20"/>
    <x v="1"/>
    <s v="Liepāja"/>
    <x v="3"/>
  </r>
  <r>
    <x v="56"/>
    <s v="gabali"/>
    <n v="20"/>
    <x v="1"/>
    <s v="Liepāja"/>
    <x v="3"/>
  </r>
  <r>
    <x v="19"/>
    <s v="EUR/vien bez PVN"/>
    <m/>
    <x v="1"/>
    <s v="Liepāja"/>
    <x v="3"/>
  </r>
  <r>
    <x v="13"/>
    <s v="EUR/vien bez PVN"/>
    <m/>
    <x v="1"/>
    <s v="Liepāja"/>
    <x v="3"/>
  </r>
  <r>
    <x v="49"/>
    <s v="EUR/vien bez PVN"/>
    <m/>
    <x v="1"/>
    <s v="Liepāja"/>
    <x v="3"/>
  </r>
  <r>
    <x v="50"/>
    <s v="EUR/vien bez PVN"/>
    <m/>
    <x v="1"/>
    <s v="Liepāja"/>
    <x v="3"/>
  </r>
  <r>
    <x v="30"/>
    <s v="EUR/vien bez PVN"/>
    <m/>
    <x v="1"/>
    <s v="Liepāja"/>
    <x v="3"/>
  </r>
  <r>
    <x v="51"/>
    <s v="EUR/vien bez PVN"/>
    <m/>
    <x v="1"/>
    <s v="Liepāja"/>
    <x v="3"/>
  </r>
  <r>
    <x v="52"/>
    <s v="EUR/vien bez PVN"/>
    <m/>
    <x v="1"/>
    <s v="Liepāja"/>
    <x v="3"/>
  </r>
  <r>
    <x v="53"/>
    <s v="EUR/vien bez PVN"/>
    <m/>
    <x v="1"/>
    <s v="Liepāja"/>
    <x v="3"/>
  </r>
  <r>
    <x v="16"/>
    <s v="EUR/vien bez PVN"/>
    <m/>
    <x v="1"/>
    <s v="Liepāja"/>
    <x v="3"/>
  </r>
  <r>
    <x v="54"/>
    <s v="EUR/vien bez PVN"/>
    <n v="4.76"/>
    <x v="1"/>
    <s v="Liepāja"/>
    <x v="3"/>
  </r>
  <r>
    <x v="55"/>
    <s v="EUR/vien bez PVN"/>
    <n v="0.06"/>
    <x v="1"/>
    <s v="Liepāja"/>
    <x v="3"/>
  </r>
  <r>
    <x v="57"/>
    <s v="EUR/vien bez PVN"/>
    <n v="0.06"/>
    <x v="1"/>
    <s v="Liepāja"/>
    <x v="3"/>
  </r>
  <r>
    <x v="11"/>
    <m/>
    <n v="96.59999999999998"/>
    <x v="2"/>
    <s v="Liepāja"/>
    <x v="3"/>
  </r>
  <r>
    <x v="12"/>
    <m/>
    <m/>
    <x v="2"/>
    <s v="Liepāja"/>
    <x v="3"/>
  </r>
  <r>
    <x v="13"/>
    <s v="litri"/>
    <n v="5"/>
    <x v="2"/>
    <s v="Liepāja"/>
    <x v="3"/>
  </r>
  <r>
    <x v="49"/>
    <s v="litri"/>
    <n v="5"/>
    <x v="2"/>
    <s v="Liepāja"/>
    <x v="3"/>
  </r>
  <r>
    <x v="50"/>
    <s v="litri"/>
    <n v="2"/>
    <x v="2"/>
    <s v="Liepāja"/>
    <x v="3"/>
  </r>
  <r>
    <x v="30"/>
    <s v="litri"/>
    <n v="10"/>
    <x v="2"/>
    <s v="Liepāja"/>
    <x v="3"/>
  </r>
  <r>
    <x v="51"/>
    <s v="litri"/>
    <n v="5"/>
    <x v="2"/>
    <s v="Liepāja"/>
    <x v="3"/>
  </r>
  <r>
    <x v="52"/>
    <s v="gabali"/>
    <n v="1"/>
    <x v="2"/>
    <s v="Liepāja"/>
    <x v="3"/>
  </r>
  <r>
    <x v="53"/>
    <s v="gabali"/>
    <n v="1"/>
    <x v="2"/>
    <s v="Liepāja"/>
    <x v="3"/>
  </r>
  <r>
    <x v="16"/>
    <s v="ruļļi"/>
    <n v="66"/>
    <x v="2"/>
    <s v="Liepāja"/>
    <x v="3"/>
  </r>
  <r>
    <x v="54"/>
    <s v="gabali"/>
    <m/>
    <x v="2"/>
    <s v="Liepāja"/>
    <x v="3"/>
  </r>
  <r>
    <x v="55"/>
    <s v="gabali"/>
    <m/>
    <x v="2"/>
    <s v="Liepāja"/>
    <x v="3"/>
  </r>
  <r>
    <x v="56"/>
    <s v="gabali"/>
    <m/>
    <x v="2"/>
    <s v="Liepāja"/>
    <x v="3"/>
  </r>
  <r>
    <x v="19"/>
    <s v="EUR/vien bez PVN"/>
    <m/>
    <x v="2"/>
    <s v="Liepāja"/>
    <x v="3"/>
  </r>
  <r>
    <x v="13"/>
    <s v="EUR/vien bez PVN"/>
    <n v="2.472"/>
    <x v="2"/>
    <s v="Liepāja"/>
    <x v="3"/>
  </r>
  <r>
    <x v="49"/>
    <s v="EUR/vien bez PVN"/>
    <n v="2.5139999999999998"/>
    <x v="2"/>
    <s v="Liepāja"/>
    <x v="3"/>
  </r>
  <r>
    <x v="50"/>
    <s v="EUR/vien bez PVN"/>
    <n v="5.31"/>
    <x v="2"/>
    <s v="Liepāja"/>
    <x v="3"/>
  </r>
  <r>
    <x v="30"/>
    <s v="EUR/vien bez PVN"/>
    <n v="2.86"/>
    <x v="2"/>
    <s v="Liepāja"/>
    <x v="3"/>
  </r>
  <r>
    <x v="51"/>
    <s v="EUR/vien bez PVN"/>
    <n v="3.0459999999999998"/>
    <x v="2"/>
    <s v="Liepāja"/>
    <x v="3"/>
  </r>
  <r>
    <x v="52"/>
    <s v="EUR/vien bez PVN"/>
    <n v="1.38"/>
    <x v="2"/>
    <s v="Liepāja"/>
    <x v="3"/>
  </r>
  <r>
    <x v="53"/>
    <s v="EUR/vien bez PVN"/>
    <n v="1.32"/>
    <x v="2"/>
    <s v="Liepāja"/>
    <x v="3"/>
  </r>
  <r>
    <x v="16"/>
    <s v="EUR/vien bez PVN"/>
    <n v="0.22"/>
    <x v="2"/>
    <s v="Liepāja"/>
    <x v="3"/>
  </r>
  <r>
    <x v="54"/>
    <s v="EUR/vien bez PVN"/>
    <m/>
    <x v="2"/>
    <s v="Liepāja"/>
    <x v="3"/>
  </r>
  <r>
    <x v="55"/>
    <s v="EUR/vien bez PVN"/>
    <m/>
    <x v="2"/>
    <s v="Liepāja"/>
    <x v="3"/>
  </r>
  <r>
    <x v="57"/>
    <s v="EUR/vien bez PVN"/>
    <m/>
    <x v="2"/>
    <s v="Liepāja"/>
    <x v="3"/>
  </r>
  <r>
    <x v="25"/>
    <m/>
    <n v="15499.471908594263"/>
    <x v="0"/>
    <s v="Liepāja"/>
    <x v="3"/>
  </r>
  <r>
    <x v="58"/>
    <s v="EUR bez PVN"/>
    <n v="110380.73"/>
    <x v="0"/>
    <s v="Liepāja"/>
    <x v="3"/>
  </r>
  <r>
    <x v="59"/>
    <s v="km"/>
    <n v="185411.79999999996"/>
    <x v="0"/>
    <s v="Liepāja"/>
    <x v="3"/>
  </r>
  <r>
    <x v="60"/>
    <s v="EUR bez PVN"/>
    <n v="169015.44"/>
    <x v="0"/>
    <s v="Liepāja"/>
    <x v="3"/>
  </r>
  <r>
    <x v="61"/>
    <s v="km"/>
    <n v="248946.66900000008"/>
    <x v="0"/>
    <s v="Liepāja"/>
    <x v="3"/>
  </r>
  <r>
    <x v="25"/>
    <m/>
    <n v="10485.040928081298"/>
    <x v="1"/>
    <s v="Liepāja"/>
    <x v="3"/>
  </r>
  <r>
    <x v="58"/>
    <s v="EUR bez PVN"/>
    <n v="45565.9"/>
    <x v="1"/>
    <s v="Liepāja"/>
    <x v="3"/>
  </r>
  <r>
    <x v="59"/>
    <s v="km"/>
    <n v="84612.799999999988"/>
    <x v="1"/>
    <s v="Liepāja"/>
    <x v="3"/>
  </r>
  <r>
    <x v="60"/>
    <s v="EUR bez PVN"/>
    <n v="57357.82"/>
    <x v="1"/>
    <s v="Liepāja"/>
    <x v="3"/>
  </r>
  <r>
    <x v="61"/>
    <s v="km"/>
    <n v="86585.624999999985"/>
    <x v="1"/>
    <s v="Liepāja"/>
    <x v="3"/>
  </r>
  <r>
    <x v="25"/>
    <m/>
    <n v="4970.7175888909569"/>
    <x v="2"/>
    <s v="Liepāja"/>
    <x v="3"/>
  </r>
  <r>
    <x v="58"/>
    <s v="EUR bez PVN"/>
    <n v="38461.82"/>
    <x v="2"/>
    <s v="Liepāja"/>
    <x v="3"/>
  </r>
  <r>
    <x v="59"/>
    <s v="km"/>
    <n v="55825.820000000007"/>
    <x v="2"/>
    <s v="Liepāja"/>
    <x v="3"/>
  </r>
  <r>
    <x v="60"/>
    <s v="EUR bez PVN"/>
    <n v="46667.92"/>
    <x v="2"/>
    <s v="Liepāja"/>
    <x v="3"/>
  </r>
  <r>
    <x v="61"/>
    <s v="km"/>
    <n v="59984.404465484637"/>
    <x v="2"/>
    <s v="Liepāja"/>
    <x v="3"/>
  </r>
  <r>
    <x v="0"/>
    <m/>
    <n v="0"/>
    <x v="0"/>
    <s v="Liepāja"/>
    <x v="4"/>
  </r>
  <r>
    <x v="1"/>
    <s v="skaits"/>
    <n v="43"/>
    <x v="0"/>
    <s v="Liepāja"/>
    <x v="4"/>
  </r>
  <r>
    <x v="2"/>
    <s v="skaits"/>
    <n v="13439"/>
    <x v="0"/>
    <s v="Liepāja"/>
    <x v="4"/>
  </r>
  <r>
    <x v="3"/>
    <s v="skaits"/>
    <n v="13439"/>
    <x v="0"/>
    <s v="Liepāja"/>
    <x v="4"/>
  </r>
  <r>
    <x v="4"/>
    <s v="skaits"/>
    <n v="0"/>
    <x v="0"/>
    <s v="Liepāja"/>
    <x v="4"/>
  </r>
  <r>
    <x v="5"/>
    <s v="skaits"/>
    <n v="0"/>
    <x v="0"/>
    <s v="Liepāja"/>
    <x v="4"/>
  </r>
  <r>
    <x v="6"/>
    <s v="km"/>
    <n v="194634.06"/>
    <x v="0"/>
    <s v="Liepāja"/>
    <x v="4"/>
  </r>
  <r>
    <x v="7"/>
    <s v="km"/>
    <n v="194634.06"/>
    <x v="0"/>
    <s v="Liepāja"/>
    <x v="4"/>
  </r>
  <r>
    <x v="8"/>
    <s v="km"/>
    <n v="0"/>
    <x v="0"/>
    <s v="Liepāja"/>
    <x v="4"/>
  </r>
  <r>
    <x v="9"/>
    <s v="km"/>
    <n v="0"/>
    <x v="0"/>
    <s v="Liepāja"/>
    <x v="4"/>
  </r>
  <r>
    <x v="10"/>
    <s v="EUR/km"/>
    <n v="1.6415"/>
    <x v="0"/>
    <s v="Liepāja"/>
    <x v="4"/>
  </r>
  <r>
    <x v="0"/>
    <m/>
    <n v="0"/>
    <x v="1"/>
    <s v="Liepāja"/>
    <x v="4"/>
  </r>
  <r>
    <x v="1"/>
    <s v="skaits"/>
    <n v="13"/>
    <x v="1"/>
    <s v="Liepāja"/>
    <x v="4"/>
  </r>
  <r>
    <x v="2"/>
    <s v="skaits"/>
    <n v="9002"/>
    <x v="1"/>
    <s v="Liepāja"/>
    <x v="4"/>
  </r>
  <r>
    <x v="3"/>
    <s v="skaits"/>
    <n v="9002"/>
    <x v="1"/>
    <s v="Liepāja"/>
    <x v="4"/>
  </r>
  <r>
    <x v="4"/>
    <s v="skaits"/>
    <n v="0"/>
    <x v="1"/>
    <s v="Liepāja"/>
    <x v="4"/>
  </r>
  <r>
    <x v="5"/>
    <s v="skaits"/>
    <n v="0"/>
    <x v="1"/>
    <s v="Liepāja"/>
    <x v="4"/>
  </r>
  <r>
    <x v="6"/>
    <s v="km"/>
    <n v="87238.84"/>
    <x v="1"/>
    <s v="Liepāja"/>
    <x v="4"/>
  </r>
  <r>
    <x v="7"/>
    <s v="km"/>
    <n v="87238.84"/>
    <x v="1"/>
    <s v="Liepāja"/>
    <x v="4"/>
  </r>
  <r>
    <x v="8"/>
    <s v="km"/>
    <n v="0"/>
    <x v="1"/>
    <s v="Liepāja"/>
    <x v="4"/>
  </r>
  <r>
    <x v="9"/>
    <s v="km"/>
    <n v="0"/>
    <x v="1"/>
    <s v="Liepāja"/>
    <x v="4"/>
  </r>
  <r>
    <x v="10"/>
    <s v="EUR/km"/>
    <n v="0.84609999999999996"/>
    <x v="1"/>
    <s v="Liepāja"/>
    <x v="4"/>
  </r>
  <r>
    <x v="0"/>
    <m/>
    <n v="0"/>
    <x v="2"/>
    <s v="Liepāja"/>
    <x v="4"/>
  </r>
  <r>
    <x v="1"/>
    <s v="skaits"/>
    <n v="20"/>
    <x v="2"/>
    <s v="Liepāja"/>
    <x v="4"/>
  </r>
  <r>
    <x v="2"/>
    <s v="skaits"/>
    <n v="8160"/>
    <x v="2"/>
    <s v="Liepāja"/>
    <x v="4"/>
  </r>
  <r>
    <x v="3"/>
    <s v="skaits"/>
    <n v="8160"/>
    <x v="2"/>
    <s v="Liepāja"/>
    <x v="4"/>
  </r>
  <r>
    <x v="4"/>
    <s v="skaits"/>
    <n v="0"/>
    <x v="2"/>
    <s v="Liepāja"/>
    <x v="4"/>
  </r>
  <r>
    <x v="5"/>
    <s v="skaits"/>
    <n v="0"/>
    <x v="2"/>
    <s v="Liepāja"/>
    <x v="4"/>
  </r>
  <r>
    <x v="6"/>
    <s v="km"/>
    <n v="58103.55"/>
    <x v="2"/>
    <s v="Liepāja"/>
    <x v="4"/>
  </r>
  <r>
    <x v="7"/>
    <s v="km"/>
    <n v="58103.55"/>
    <x v="2"/>
    <s v="Liepāja"/>
    <x v="4"/>
  </r>
  <r>
    <x v="8"/>
    <s v="km"/>
    <n v="0"/>
    <x v="2"/>
    <s v="Liepāja"/>
    <x v="4"/>
  </r>
  <r>
    <x v="9"/>
    <s v="km"/>
    <n v="0"/>
    <x v="2"/>
    <s v="Liepāja"/>
    <x v="4"/>
  </r>
  <r>
    <x v="10"/>
    <s v="EUR/km"/>
    <n v="3.0848"/>
    <x v="2"/>
    <s v="Liepāja"/>
    <x v="4"/>
  </r>
  <r>
    <x v="11"/>
    <m/>
    <n v="10.538658"/>
    <x v="0"/>
    <s v="Liepāja"/>
    <x v="4"/>
  </r>
  <r>
    <x v="12"/>
    <m/>
    <m/>
    <x v="0"/>
    <s v="Liepāja"/>
    <x v="4"/>
  </r>
  <r>
    <x v="13"/>
    <s v="litri"/>
    <m/>
    <x v="0"/>
    <s v="Liepāja"/>
    <x v="4"/>
  </r>
  <r>
    <x v="62"/>
    <s v="gabali"/>
    <n v="0.50790000000000002"/>
    <x v="0"/>
    <s v="Liepāja"/>
    <x v="4"/>
  </r>
  <r>
    <x v="63"/>
    <s v="gabali"/>
    <n v="0.76229999999999998"/>
    <x v="0"/>
    <s v="Liepāja"/>
    <x v="4"/>
  </r>
  <r>
    <x v="55"/>
    <s v="gabali"/>
    <m/>
    <x v="0"/>
    <s v="Liepāja"/>
    <x v="4"/>
  </r>
  <r>
    <x v="19"/>
    <s v="EUR/vien bez PVN"/>
    <m/>
    <x v="0"/>
    <s v="Liepāja"/>
    <x v="4"/>
  </r>
  <r>
    <x v="13"/>
    <s v="EUR/vien bez PVN"/>
    <m/>
    <x v="0"/>
    <s v="Liepāja"/>
    <x v="4"/>
  </r>
  <r>
    <x v="62"/>
    <s v="EUR/vien bez PVN"/>
    <n v="13.17"/>
    <x v="0"/>
    <s v="Liepāja"/>
    <x v="4"/>
  </r>
  <r>
    <x v="63"/>
    <s v="EUR/vien bez PVN"/>
    <n v="5.05"/>
    <x v="0"/>
    <s v="Liepāja"/>
    <x v="4"/>
  </r>
  <r>
    <x v="55"/>
    <s v="EUR/vien bez PVN"/>
    <m/>
    <x v="0"/>
    <s v="Liepāja"/>
    <x v="4"/>
  </r>
  <r>
    <x v="11"/>
    <m/>
    <n v="4.7065900000000003"/>
    <x v="1"/>
    <s v="Liepāja"/>
    <x v="4"/>
  </r>
  <r>
    <x v="12"/>
    <m/>
    <m/>
    <x v="1"/>
    <s v="Liepāja"/>
    <x v="4"/>
  </r>
  <r>
    <x v="13"/>
    <s v="litri"/>
    <m/>
    <x v="1"/>
    <s v="Liepāja"/>
    <x v="4"/>
  </r>
  <r>
    <x v="62"/>
    <s v="gabali"/>
    <n v="0.22700000000000001"/>
    <x v="1"/>
    <s v="Liepāja"/>
    <x v="4"/>
  </r>
  <r>
    <x v="63"/>
    <s v="gabali"/>
    <n v="0.34"/>
    <x v="1"/>
    <s v="Liepāja"/>
    <x v="4"/>
  </r>
  <r>
    <x v="55"/>
    <s v="gabali"/>
    <m/>
    <x v="1"/>
    <s v="Liepāja"/>
    <x v="4"/>
  </r>
  <r>
    <x v="19"/>
    <s v="EUR/vien bez PVN"/>
    <m/>
    <x v="1"/>
    <s v="Liepāja"/>
    <x v="4"/>
  </r>
  <r>
    <x v="13"/>
    <s v="EUR/vien bez PVN"/>
    <m/>
    <x v="1"/>
    <s v="Liepāja"/>
    <x v="4"/>
  </r>
  <r>
    <x v="62"/>
    <s v="EUR/vien bez PVN"/>
    <n v="13.17"/>
    <x v="1"/>
    <s v="Liepāja"/>
    <x v="4"/>
  </r>
  <r>
    <x v="63"/>
    <s v="EUR/vien bez PVN"/>
    <n v="5.05"/>
    <x v="1"/>
    <s v="Liepāja"/>
    <x v="4"/>
  </r>
  <r>
    <x v="55"/>
    <s v="EUR/vien bez PVN"/>
    <m/>
    <x v="1"/>
    <s v="Liepāja"/>
    <x v="4"/>
  </r>
  <r>
    <x v="11"/>
    <m/>
    <n v="30.2"/>
    <x v="2"/>
    <s v="Liepāja"/>
    <x v="4"/>
  </r>
  <r>
    <x v="12"/>
    <m/>
    <m/>
    <x v="2"/>
    <s v="Liepāja"/>
    <x v="4"/>
  </r>
  <r>
    <x v="13"/>
    <s v="litri"/>
    <n v="5"/>
    <x v="2"/>
    <s v="Liepāja"/>
    <x v="4"/>
  </r>
  <r>
    <x v="62"/>
    <s v="gabali"/>
    <m/>
    <x v="2"/>
    <s v="Liepāja"/>
    <x v="4"/>
  </r>
  <r>
    <x v="63"/>
    <s v="gabali"/>
    <m/>
    <x v="2"/>
    <s v="Liepāja"/>
    <x v="4"/>
  </r>
  <r>
    <x v="55"/>
    <s v="gabali"/>
    <n v="50"/>
    <x v="2"/>
    <s v="Liepāja"/>
    <x v="4"/>
  </r>
  <r>
    <x v="19"/>
    <s v="EUR/vien bez PVN"/>
    <m/>
    <x v="2"/>
    <s v="Liepāja"/>
    <x v="4"/>
  </r>
  <r>
    <x v="13"/>
    <s v="EUR/vien bez PVN"/>
    <n v="2.472"/>
    <x v="2"/>
    <s v="Liepāja"/>
    <x v="4"/>
  </r>
  <r>
    <x v="62"/>
    <s v="EUR/vien bez PVN"/>
    <m/>
    <x v="2"/>
    <s v="Liepāja"/>
    <x v="4"/>
  </r>
  <r>
    <x v="63"/>
    <s v="EUR/vien bez PVN"/>
    <m/>
    <x v="2"/>
    <s v="Liepāja"/>
    <x v="4"/>
  </r>
  <r>
    <x v="55"/>
    <s v="EUR/vien bez PVN"/>
    <n v="0.35680000000000001"/>
    <x v="2"/>
    <s v="Liepāja"/>
    <x v="4"/>
  </r>
  <r>
    <x v="25"/>
    <m/>
    <n v="28372.29415577395"/>
    <x v="0"/>
    <s v="Liepāja"/>
    <x v="4"/>
  </r>
  <r>
    <x v="64"/>
    <s v="EUR bez PVN"/>
    <n v="121651.68"/>
    <x v="0"/>
    <s v="Liepāja"/>
    <x v="4"/>
  </r>
  <r>
    <x v="65"/>
    <s v="km"/>
    <n v="194634.06"/>
    <x v="0"/>
    <s v="Liepāja"/>
    <x v="4"/>
  </r>
  <r>
    <x v="66"/>
    <s v="EUR bez PVN"/>
    <n v="179643.54"/>
    <x v="0"/>
    <s v="Liepāja"/>
    <x v="4"/>
  </r>
  <r>
    <x v="67"/>
    <s v="km"/>
    <n v="233061.09400000001"/>
    <x v="0"/>
    <s v="Liepāja"/>
    <x v="4"/>
  </r>
  <r>
    <x v="25"/>
    <m/>
    <n v="8945.236256597098"/>
    <x v="1"/>
    <s v="Liepāja"/>
    <x v="4"/>
  </r>
  <r>
    <x v="64"/>
    <s v="EUR bez PVN"/>
    <n v="49288.09"/>
    <x v="1"/>
    <s v="Liepāja"/>
    <x v="4"/>
  </r>
  <r>
    <x v="65"/>
    <s v="km"/>
    <n v="87238.84"/>
    <x v="1"/>
    <s v="Liepāja"/>
    <x v="4"/>
  </r>
  <r>
    <x v="66"/>
    <s v="EUR bez PVN"/>
    <n v="58744.47"/>
    <x v="1"/>
    <s v="Liepāja"/>
    <x v="4"/>
  </r>
  <r>
    <x v="67"/>
    <s v="km"/>
    <n v="88004.58"/>
    <x v="1"/>
    <s v="Liepāja"/>
    <x v="4"/>
  </r>
  <r>
    <x v="25"/>
    <m/>
    <n v="5667.664786672126"/>
    <x v="2"/>
    <s v="Liepāja"/>
    <x v="4"/>
  </r>
  <r>
    <x v="64"/>
    <s v="EUR bez PVN"/>
    <n v="44436.06"/>
    <x v="2"/>
    <s v="Liepāja"/>
    <x v="4"/>
  </r>
  <r>
    <x v="65"/>
    <s v="km"/>
    <n v="58103.55"/>
    <x v="2"/>
    <s v="Liepāja"/>
    <x v="4"/>
  </r>
  <r>
    <x v="66"/>
    <s v="EUR bez PVN"/>
    <n v="52306.3"/>
    <x v="2"/>
    <s v="Liepāja"/>
    <x v="4"/>
  </r>
  <r>
    <x v="67"/>
    <s v="km"/>
    <n v="60657.8"/>
    <x v="2"/>
    <s v="Liepāja"/>
    <x v="4"/>
  </r>
  <r>
    <x v="0"/>
    <m/>
    <n v="0"/>
    <x v="0"/>
    <s v="Liepāja"/>
    <x v="5"/>
  </r>
  <r>
    <x v="1"/>
    <s v="skaits"/>
    <n v="43"/>
    <x v="0"/>
    <s v="Liepāja"/>
    <x v="5"/>
  </r>
  <r>
    <x v="2"/>
    <s v="skaits"/>
    <n v="13439"/>
    <x v="0"/>
    <s v="Liepāja"/>
    <x v="5"/>
  </r>
  <r>
    <x v="3"/>
    <s v="skaits"/>
    <n v="13439"/>
    <x v="0"/>
    <s v="Liepāja"/>
    <x v="5"/>
  </r>
  <r>
    <x v="4"/>
    <s v="skaits"/>
    <n v="0"/>
    <x v="0"/>
    <s v="Liepāja"/>
    <x v="5"/>
  </r>
  <r>
    <x v="5"/>
    <s v="skaits"/>
    <n v="0"/>
    <x v="0"/>
    <s v="Liepāja"/>
    <x v="5"/>
  </r>
  <r>
    <x v="6"/>
    <s v="km"/>
    <n v="194634.06"/>
    <x v="0"/>
    <s v="Liepāja"/>
    <x v="5"/>
  </r>
  <r>
    <x v="7"/>
    <s v="km"/>
    <n v="194634.06"/>
    <x v="0"/>
    <s v="Liepāja"/>
    <x v="5"/>
  </r>
  <r>
    <x v="8"/>
    <s v="km"/>
    <n v="0"/>
    <x v="0"/>
    <s v="Liepāja"/>
    <x v="5"/>
  </r>
  <r>
    <x v="9"/>
    <s v="km"/>
    <n v="0"/>
    <x v="0"/>
    <s v="Liepāja"/>
    <x v="5"/>
  </r>
  <r>
    <x v="10"/>
    <s v="EUR/km"/>
    <n v="1.6352"/>
    <x v="0"/>
    <s v="Liepāja"/>
    <x v="5"/>
  </r>
  <r>
    <x v="0"/>
    <m/>
    <n v="0"/>
    <x v="1"/>
    <s v="Liepāja"/>
    <x v="5"/>
  </r>
  <r>
    <x v="1"/>
    <s v="skaits"/>
    <n v="13"/>
    <x v="1"/>
    <s v="Liepāja"/>
    <x v="5"/>
  </r>
  <r>
    <x v="2"/>
    <s v="skaits"/>
    <n v="9002"/>
    <x v="1"/>
    <s v="Liepāja"/>
    <x v="5"/>
  </r>
  <r>
    <x v="3"/>
    <s v="skaits"/>
    <n v="9002"/>
    <x v="1"/>
    <s v="Liepāja"/>
    <x v="5"/>
  </r>
  <r>
    <x v="4"/>
    <s v="skaits"/>
    <n v="0"/>
    <x v="1"/>
    <s v="Liepāja"/>
    <x v="5"/>
  </r>
  <r>
    <x v="5"/>
    <s v="skaits"/>
    <n v="0"/>
    <x v="1"/>
    <s v="Liepāja"/>
    <x v="5"/>
  </r>
  <r>
    <x v="6"/>
    <s v="km"/>
    <n v="86968.74"/>
    <x v="1"/>
    <s v="Liepāja"/>
    <x v="5"/>
  </r>
  <r>
    <x v="7"/>
    <s v="km"/>
    <n v="86968.74"/>
    <x v="1"/>
    <s v="Liepāja"/>
    <x v="5"/>
  </r>
  <r>
    <x v="8"/>
    <s v="km"/>
    <n v="0"/>
    <x v="1"/>
    <s v="Liepāja"/>
    <x v="5"/>
  </r>
  <r>
    <x v="9"/>
    <s v="km"/>
    <n v="0"/>
    <x v="1"/>
    <s v="Liepāja"/>
    <x v="5"/>
  </r>
  <r>
    <x v="10"/>
    <s v="EUR/km"/>
    <n v="0.83960000000000001"/>
    <x v="1"/>
    <s v="Liepāja"/>
    <x v="5"/>
  </r>
  <r>
    <x v="0"/>
    <m/>
    <n v="0"/>
    <x v="2"/>
    <s v="Liepāja"/>
    <x v="5"/>
  </r>
  <r>
    <x v="1"/>
    <s v="skaits"/>
    <n v="20"/>
    <x v="2"/>
    <s v="Liepāja"/>
    <x v="5"/>
  </r>
  <r>
    <x v="2"/>
    <s v="skaits"/>
    <n v="8160"/>
    <x v="2"/>
    <s v="Liepāja"/>
    <x v="5"/>
  </r>
  <r>
    <x v="3"/>
    <s v="skaits"/>
    <n v="8160"/>
    <x v="2"/>
    <s v="Liepāja"/>
    <x v="5"/>
  </r>
  <r>
    <x v="4"/>
    <s v="skaits"/>
    <n v="0"/>
    <x v="2"/>
    <s v="Liepāja"/>
    <x v="5"/>
  </r>
  <r>
    <x v="5"/>
    <s v="skaits"/>
    <n v="0"/>
    <x v="2"/>
    <s v="Liepāja"/>
    <x v="5"/>
  </r>
  <r>
    <x v="6"/>
    <s v="km"/>
    <n v="58103.56"/>
    <x v="2"/>
    <s v="Liepāja"/>
    <x v="5"/>
  </r>
  <r>
    <x v="7"/>
    <s v="km"/>
    <n v="58103.56"/>
    <x v="2"/>
    <s v="Liepāja"/>
    <x v="5"/>
  </r>
  <r>
    <x v="8"/>
    <s v="km"/>
    <n v="0"/>
    <x v="2"/>
    <s v="Liepāja"/>
    <x v="5"/>
  </r>
  <r>
    <x v="9"/>
    <s v="km"/>
    <n v="0"/>
    <x v="2"/>
    <s v="Liepāja"/>
    <x v="5"/>
  </r>
  <r>
    <x v="10"/>
    <s v="EUR/km"/>
    <n v="3.0952999999999999"/>
    <x v="2"/>
    <s v="Liepāja"/>
    <x v="5"/>
  </r>
  <r>
    <x v="11"/>
    <m/>
    <n v="12.124512000000001"/>
    <x v="0"/>
    <s v="Liepāja"/>
    <x v="5"/>
  </r>
  <r>
    <x v="12"/>
    <m/>
    <m/>
    <x v="0"/>
    <s v="Liepāja"/>
    <x v="5"/>
  </r>
  <r>
    <x v="30"/>
    <s v="litri"/>
    <m/>
    <x v="0"/>
    <s v="Liepāja"/>
    <x v="5"/>
  </r>
  <r>
    <x v="63"/>
    <s v="gabali"/>
    <n v="0.79200000000000004"/>
    <x v="0"/>
    <s v="Liepāja"/>
    <x v="5"/>
  </r>
  <r>
    <x v="68"/>
    <s v="gabali"/>
    <n v="60"/>
    <x v="0"/>
    <s v="Liepāja"/>
    <x v="5"/>
  </r>
  <r>
    <x v="69"/>
    <s v="gabali"/>
    <n v="56"/>
    <x v="0"/>
    <s v="Liepāja"/>
    <x v="5"/>
  </r>
  <r>
    <x v="19"/>
    <s v="EUR/vien bez PVN"/>
    <m/>
    <x v="0"/>
    <s v="Liepāja"/>
    <x v="5"/>
  </r>
  <r>
    <x v="30"/>
    <s v="EUR/vien bez PVN"/>
    <m/>
    <x v="0"/>
    <s v="Liepāja"/>
    <x v="5"/>
  </r>
  <r>
    <x v="63"/>
    <s v="EUR/vien bez PVN"/>
    <n v="5.3559999999999999"/>
    <x v="0"/>
    <s v="Liepāja"/>
    <x v="5"/>
  </r>
  <r>
    <x v="68"/>
    <s v="EUR/vien bez PVN"/>
    <n v="9.7439999999999999E-2"/>
    <x v="0"/>
    <s v="Liepāja"/>
    <x v="5"/>
  </r>
  <r>
    <x v="69"/>
    <s v="EUR/vien bez PVN"/>
    <n v="3.6360000000000003E-2"/>
    <x v="0"/>
    <s v="Liepāja"/>
    <x v="5"/>
  </r>
  <r>
    <x v="11"/>
    <m/>
    <n v="5.4080527999999992"/>
    <x v="1"/>
    <s v="Liepāja"/>
    <x v="5"/>
  </r>
  <r>
    <x v="12"/>
    <m/>
    <m/>
    <x v="1"/>
    <s v="Liepāja"/>
    <x v="5"/>
  </r>
  <r>
    <x v="30"/>
    <s v="litri"/>
    <m/>
    <x v="1"/>
    <s v="Liepāja"/>
    <x v="5"/>
  </r>
  <r>
    <x v="63"/>
    <s v="gabali"/>
    <n v="0.3488"/>
    <x v="1"/>
    <s v="Liepāja"/>
    <x v="5"/>
  </r>
  <r>
    <x v="68"/>
    <s v="gabali"/>
    <n v="27"/>
    <x v="1"/>
    <s v="Liepāja"/>
    <x v="5"/>
  </r>
  <r>
    <x v="69"/>
    <s v="gabali"/>
    <n v="25"/>
    <x v="1"/>
    <s v="Liepāja"/>
    <x v="5"/>
  </r>
  <r>
    <x v="19"/>
    <s v="EUR/vien bez PVN"/>
    <m/>
    <x v="1"/>
    <s v="Liepāja"/>
    <x v="5"/>
  </r>
  <r>
    <x v="30"/>
    <s v="EUR/vien bez PVN"/>
    <m/>
    <x v="1"/>
    <s v="Liepāja"/>
    <x v="5"/>
  </r>
  <r>
    <x v="63"/>
    <s v="EUR/vien bez PVN"/>
    <n v="5.3559999999999999"/>
    <x v="1"/>
    <s v="Liepāja"/>
    <x v="5"/>
  </r>
  <r>
    <x v="68"/>
    <s v="EUR/vien bez PVN"/>
    <n v="9.7439999999999999E-2"/>
    <x v="1"/>
    <s v="Liepāja"/>
    <x v="5"/>
  </r>
  <r>
    <x v="69"/>
    <s v="EUR/vien bez PVN"/>
    <n v="3.6360000000000003E-2"/>
    <x v="1"/>
    <s v="Liepāja"/>
    <x v="5"/>
  </r>
  <r>
    <x v="11"/>
    <m/>
    <n v="14.31"/>
    <x v="2"/>
    <s v="Liepāja"/>
    <x v="5"/>
  </r>
  <r>
    <x v="12"/>
    <m/>
    <m/>
    <x v="2"/>
    <s v="Liepāja"/>
    <x v="5"/>
  </r>
  <r>
    <x v="30"/>
    <s v="litri"/>
    <n v="5"/>
    <x v="2"/>
    <s v="Liepāja"/>
    <x v="5"/>
  </r>
  <r>
    <x v="63"/>
    <s v="gabali"/>
    <m/>
    <x v="2"/>
    <s v="Liepāja"/>
    <x v="5"/>
  </r>
  <r>
    <x v="68"/>
    <s v="gabali"/>
    <m/>
    <x v="2"/>
    <s v="Liepāja"/>
    <x v="5"/>
  </r>
  <r>
    <x v="69"/>
    <s v="gabali"/>
    <m/>
    <x v="2"/>
    <s v="Liepāja"/>
    <x v="5"/>
  </r>
  <r>
    <x v="19"/>
    <s v="EUR/vien bez PVN"/>
    <m/>
    <x v="2"/>
    <s v="Liepāja"/>
    <x v="5"/>
  </r>
  <r>
    <x v="30"/>
    <s v="EUR/vien bez PVN"/>
    <n v="2.8620000000000001"/>
    <x v="2"/>
    <s v="Liepāja"/>
    <x v="5"/>
  </r>
  <r>
    <x v="63"/>
    <s v="EUR/vien bez PVN"/>
    <m/>
    <x v="2"/>
    <s v="Liepāja"/>
    <x v="5"/>
  </r>
  <r>
    <x v="68"/>
    <s v="EUR/vien bez PVN"/>
    <m/>
    <x v="2"/>
    <s v="Liepāja"/>
    <x v="5"/>
  </r>
  <r>
    <x v="69"/>
    <s v="EUR/vien bez PVN"/>
    <m/>
    <x v="2"/>
    <s v="Liepāja"/>
    <x v="5"/>
  </r>
  <r>
    <x v="25"/>
    <m/>
    <n v="22330.947460497817"/>
    <x v="0"/>
    <s v="Liepāja"/>
    <x v="5"/>
  </r>
  <r>
    <x v="70"/>
    <s v="EUR bez PVN"/>
    <n v="125253.16207462347"/>
    <x v="0"/>
    <s v="Liepāja"/>
    <x v="5"/>
  </r>
  <r>
    <x v="71"/>
    <s v="km"/>
    <n v="194634.06"/>
    <x v="0"/>
    <s v="Liepāja"/>
    <x v="5"/>
  </r>
  <r>
    <x v="72"/>
    <s v="EUR bez PVN"/>
    <n v="174800.65022066166"/>
    <x v="0"/>
    <s v="Liepāja"/>
    <x v="5"/>
  </r>
  <r>
    <x v="73"/>
    <s v="km"/>
    <n v="230527.25899999999"/>
    <x v="0"/>
    <s v="Liepāja"/>
    <x v="5"/>
  </r>
  <r>
    <x v="25"/>
    <m/>
    <n v="7355.2370839336481"/>
    <x v="1"/>
    <s v="Liepāja"/>
    <x v="5"/>
  </r>
  <r>
    <x v="70"/>
    <s v="EUR bez PVN"/>
    <n v="50596.65346586697"/>
    <x v="1"/>
    <s v="Liepāja"/>
    <x v="5"/>
  </r>
  <r>
    <x v="71"/>
    <s v="km"/>
    <n v="86968.74"/>
    <x v="1"/>
    <s v="Liepāja"/>
    <x v="5"/>
  </r>
  <r>
    <x v="72"/>
    <s v="EUR bez PVN"/>
    <n v="58158.773200497832"/>
    <x v="1"/>
    <s v="Liepāja"/>
    <x v="5"/>
  </r>
  <r>
    <x v="73"/>
    <s v="km"/>
    <n v="87279.21"/>
    <x v="1"/>
    <s v="Liepāja"/>
    <x v="5"/>
  </r>
  <r>
    <x v="25"/>
    <m/>
    <n v="4495.7409316475778"/>
    <x v="2"/>
    <s v="Liepāja"/>
    <x v="5"/>
  </r>
  <r>
    <x v="70"/>
    <s v="EUR bez PVN"/>
    <n v="44739.134459509572"/>
    <x v="2"/>
    <s v="Liepāja"/>
    <x v="5"/>
  </r>
  <r>
    <x v="71"/>
    <s v="km"/>
    <n v="58103.56"/>
    <x v="2"/>
    <s v="Liepāja"/>
    <x v="5"/>
  </r>
  <r>
    <x v="72"/>
    <s v="EUR bez PVN"/>
    <n v="51142.156578840528"/>
    <x v="2"/>
    <s v="Liepāja"/>
    <x v="5"/>
  </r>
  <r>
    <x v="73"/>
    <s v="km"/>
    <n v="60354.400000000001"/>
    <x v="2"/>
    <s v="Liepāja"/>
    <x v="5"/>
  </r>
  <r>
    <x v="0"/>
    <m/>
    <n v="0"/>
    <x v="0"/>
    <s v="Liepāja"/>
    <x v="6"/>
  </r>
  <r>
    <x v="1"/>
    <s v="skaits"/>
    <n v="43"/>
    <x v="0"/>
    <s v="Liepāja"/>
    <x v="6"/>
  </r>
  <r>
    <x v="2"/>
    <s v="skaits"/>
    <n v="13532"/>
    <x v="0"/>
    <s v="Liepāja"/>
    <x v="6"/>
  </r>
  <r>
    <x v="3"/>
    <s v="skaits"/>
    <n v="13532"/>
    <x v="0"/>
    <s v="Liepāja"/>
    <x v="6"/>
  </r>
  <r>
    <x v="4"/>
    <s v="skaits"/>
    <n v="0"/>
    <x v="0"/>
    <s v="Liepāja"/>
    <x v="6"/>
  </r>
  <r>
    <x v="5"/>
    <s v="skaits"/>
    <n v="0"/>
    <x v="0"/>
    <s v="Liepāja"/>
    <x v="6"/>
  </r>
  <r>
    <x v="6"/>
    <s v="km"/>
    <n v="195255.24"/>
    <x v="0"/>
    <s v="Liepāja"/>
    <x v="6"/>
  </r>
  <r>
    <x v="7"/>
    <s v="km"/>
    <n v="195255.24"/>
    <x v="0"/>
    <s v="Liepāja"/>
    <x v="6"/>
  </r>
  <r>
    <x v="8"/>
    <s v="km"/>
    <n v="0"/>
    <x v="0"/>
    <s v="Liepāja"/>
    <x v="6"/>
  </r>
  <r>
    <x v="9"/>
    <s v="km"/>
    <n v="0"/>
    <x v="0"/>
    <s v="Liepāja"/>
    <x v="6"/>
  </r>
  <r>
    <x v="10"/>
    <s v="EUR/km"/>
    <n v="1.6497606204228714"/>
    <x v="0"/>
    <s v="Liepāja"/>
    <x v="6"/>
  </r>
  <r>
    <x v="0"/>
    <m/>
    <n v="0"/>
    <x v="1"/>
    <s v="Liepāja"/>
    <x v="6"/>
  </r>
  <r>
    <x v="1"/>
    <s v="skaits"/>
    <n v="13"/>
    <x v="1"/>
    <s v="Liepāja"/>
    <x v="6"/>
  </r>
  <r>
    <x v="2"/>
    <s v="skaits"/>
    <n v="8938"/>
    <x v="1"/>
    <s v="Liepāja"/>
    <x v="6"/>
  </r>
  <r>
    <x v="3"/>
    <s v="skaits"/>
    <n v="8938"/>
    <x v="1"/>
    <s v="Liepāja"/>
    <x v="6"/>
  </r>
  <r>
    <x v="4"/>
    <s v="skaits"/>
    <n v="0"/>
    <x v="1"/>
    <s v="Liepāja"/>
    <x v="6"/>
  </r>
  <r>
    <x v="5"/>
    <s v="skaits"/>
    <n v="0"/>
    <x v="1"/>
    <s v="Liepāja"/>
    <x v="6"/>
  </r>
  <r>
    <x v="6"/>
    <s v="km"/>
    <n v="84714.880000000005"/>
    <x v="1"/>
    <s v="Liepāja"/>
    <x v="6"/>
  </r>
  <r>
    <x v="7"/>
    <s v="km"/>
    <n v="84714.880000000005"/>
    <x v="1"/>
    <s v="Liepāja"/>
    <x v="6"/>
  </r>
  <r>
    <x v="8"/>
    <s v="km"/>
    <n v="0"/>
    <x v="1"/>
    <s v="Liepāja"/>
    <x v="6"/>
  </r>
  <r>
    <x v="9"/>
    <s v="km"/>
    <n v="0"/>
    <x v="1"/>
    <s v="Liepāja"/>
    <x v="6"/>
  </r>
  <r>
    <x v="10"/>
    <s v="EUR/km"/>
    <n v="0.84440000000000004"/>
    <x v="1"/>
    <s v="Liepāja"/>
    <x v="6"/>
  </r>
  <r>
    <x v="0"/>
    <m/>
    <n v="0"/>
    <x v="2"/>
    <s v="Liepāja"/>
    <x v="6"/>
  </r>
  <r>
    <x v="1"/>
    <s v="skaits"/>
    <n v="21"/>
    <x v="2"/>
    <s v="Liepāja"/>
    <x v="6"/>
  </r>
  <r>
    <x v="2"/>
    <s v="skaits"/>
    <n v="7928"/>
    <x v="2"/>
    <s v="Liepāja"/>
    <x v="6"/>
  </r>
  <r>
    <x v="3"/>
    <s v="skaits"/>
    <n v="7928"/>
    <x v="2"/>
    <s v="Liepāja"/>
    <x v="6"/>
  </r>
  <r>
    <x v="4"/>
    <s v="skaits"/>
    <n v="0"/>
    <x v="2"/>
    <s v="Liepāja"/>
    <x v="6"/>
  </r>
  <r>
    <x v="5"/>
    <s v="skaits"/>
    <n v="0"/>
    <x v="2"/>
    <s v="Liepāja"/>
    <x v="6"/>
  </r>
  <r>
    <x v="6"/>
    <s v="km"/>
    <n v="56451.12"/>
    <x v="2"/>
    <s v="Liepāja"/>
    <x v="6"/>
  </r>
  <r>
    <x v="7"/>
    <s v="km"/>
    <n v="56451.12"/>
    <x v="2"/>
    <s v="Liepāja"/>
    <x v="6"/>
  </r>
  <r>
    <x v="8"/>
    <s v="km"/>
    <n v="0"/>
    <x v="2"/>
    <s v="Liepāja"/>
    <x v="6"/>
  </r>
  <r>
    <x v="9"/>
    <s v="km"/>
    <n v="0"/>
    <x v="2"/>
    <s v="Liepāja"/>
    <x v="6"/>
  </r>
  <r>
    <x v="10"/>
    <s v="EUR/km"/>
    <n v="3.0769000000000002"/>
    <x v="2"/>
    <s v="Liepāja"/>
    <x v="6"/>
  </r>
  <r>
    <x v="11"/>
    <m/>
    <n v="0"/>
    <x v="0"/>
    <s v="Liepāja"/>
    <x v="6"/>
  </r>
  <r>
    <x v="12"/>
    <m/>
    <m/>
    <x v="0"/>
    <s v="Liepāja"/>
    <x v="6"/>
  </r>
  <r>
    <x v="13"/>
    <s v="litri"/>
    <m/>
    <x v="0"/>
    <s v="Liepāja"/>
    <x v="6"/>
  </r>
  <r>
    <x v="19"/>
    <s v="EUR/vien bez PVN"/>
    <m/>
    <x v="0"/>
    <s v="Liepāja"/>
    <x v="6"/>
  </r>
  <r>
    <x v="30"/>
    <m/>
    <m/>
    <x v="0"/>
    <s v="Liepāja"/>
    <x v="6"/>
  </r>
  <r>
    <x v="11"/>
    <m/>
    <n v="0"/>
    <x v="1"/>
    <s v="Liepāja"/>
    <x v="6"/>
  </r>
  <r>
    <x v="12"/>
    <m/>
    <m/>
    <x v="1"/>
    <s v="Liepāja"/>
    <x v="6"/>
  </r>
  <r>
    <x v="13"/>
    <s v="litri"/>
    <m/>
    <x v="1"/>
    <s v="Liepāja"/>
    <x v="6"/>
  </r>
  <r>
    <x v="19"/>
    <s v="EUR/vien bez PVN"/>
    <m/>
    <x v="1"/>
    <s v="Liepāja"/>
    <x v="6"/>
  </r>
  <r>
    <x v="30"/>
    <m/>
    <m/>
    <x v="1"/>
    <s v="Liepāja"/>
    <x v="6"/>
  </r>
  <r>
    <x v="11"/>
    <m/>
    <n v="12.36"/>
    <x v="2"/>
    <s v="Liepāja"/>
    <x v="6"/>
  </r>
  <r>
    <x v="12"/>
    <m/>
    <m/>
    <x v="2"/>
    <s v="Liepāja"/>
    <x v="6"/>
  </r>
  <r>
    <x v="13"/>
    <s v="litri"/>
    <n v="5"/>
    <x v="2"/>
    <s v="Liepāja"/>
    <x v="6"/>
  </r>
  <r>
    <x v="19"/>
    <s v="EUR/vien bez PVN"/>
    <m/>
    <x v="2"/>
    <s v="Liepāja"/>
    <x v="6"/>
  </r>
  <r>
    <x v="30"/>
    <m/>
    <n v="2.472"/>
    <x v="2"/>
    <s v="Liepāja"/>
    <x v="6"/>
  </r>
  <r>
    <x v="25"/>
    <m/>
    <n v="20214.693947085114"/>
    <x v="0"/>
    <s v="Liepāja"/>
    <x v="6"/>
  </r>
  <r>
    <x v="74"/>
    <s v="EUR bez PVN"/>
    <n v="142338.35782071628"/>
    <x v="0"/>
    <s v="Liepāja"/>
    <x v="6"/>
  </r>
  <r>
    <x v="75"/>
    <s v="km"/>
    <n v="195255.24"/>
    <x v="0"/>
    <s v="Liepāja"/>
    <x v="6"/>
  </r>
  <r>
    <x v="76"/>
    <s v="EUR bez PVN"/>
    <n v="189252.3304380051"/>
    <x v="0"/>
    <s v="Liepāja"/>
    <x v="6"/>
  </r>
  <r>
    <x v="77"/>
    <s v="km"/>
    <n v="227325.84099999999"/>
    <x v="0"/>
    <s v="Liepāja"/>
    <x v="6"/>
  </r>
  <r>
    <x v="25"/>
    <m/>
    <n v="7497.5308328569909"/>
    <x v="1"/>
    <s v="Liepāja"/>
    <x v="6"/>
  </r>
  <r>
    <x v="74"/>
    <s v="EUR bez PVN"/>
    <n v="56608.431018671305"/>
    <x v="1"/>
    <s v="Liepāja"/>
    <x v="6"/>
  </r>
  <r>
    <x v="75"/>
    <s v="km"/>
    <n v="84714.880000000005"/>
    <x v="1"/>
    <s v="Liepāja"/>
    <x v="6"/>
  </r>
  <r>
    <x v="76"/>
    <s v="EUR bez PVN"/>
    <n v="64058.076223100739"/>
    <x v="1"/>
    <s v="Liepāja"/>
    <x v="6"/>
  </r>
  <r>
    <x v="77"/>
    <s v="km"/>
    <n v="84651.6"/>
    <x v="1"/>
    <s v="Liepāja"/>
    <x v="6"/>
  </r>
  <r>
    <x v="25"/>
    <m/>
    <n v="3008.5846300603012"/>
    <x v="2"/>
    <s v="Liepāja"/>
    <x v="6"/>
  </r>
  <r>
    <x v="74"/>
    <s v="EUR bez PVN"/>
    <n v="46198.151160612419"/>
    <x v="2"/>
    <s v="Liepāja"/>
    <x v="6"/>
  </r>
  <r>
    <x v="75"/>
    <s v="km"/>
    <n v="56451.12"/>
    <x v="2"/>
    <s v="Liepāja"/>
    <x v="6"/>
  </r>
  <r>
    <x v="76"/>
    <s v="EUR bez PVN"/>
    <n v="50551.443338894169"/>
    <x v="2"/>
    <s v="Liepāja"/>
    <x v="6"/>
  </r>
  <r>
    <x v="77"/>
    <s v="km"/>
    <n v="57993.8"/>
    <x v="2"/>
    <s v="Liepāja"/>
    <x v="6"/>
  </r>
  <r>
    <x v="0"/>
    <m/>
    <n v="-5826.6116697263024"/>
    <x v="0"/>
    <s v="Liepāja"/>
    <x v="7"/>
  </r>
  <r>
    <x v="1"/>
    <s v="skaits"/>
    <n v="43"/>
    <x v="0"/>
    <s v="Liepāja"/>
    <x v="7"/>
  </r>
  <r>
    <x v="2"/>
    <s v="skaits"/>
    <n v="13637"/>
    <x v="0"/>
    <s v="Liepāja"/>
    <x v="7"/>
  </r>
  <r>
    <x v="3"/>
    <s v="skaits"/>
    <n v="13410"/>
    <x v="0"/>
    <s v="Liepāja"/>
    <x v="7"/>
  </r>
  <r>
    <x v="4"/>
    <s v="skaits"/>
    <n v="0"/>
    <x v="0"/>
    <s v="Liepāja"/>
    <x v="7"/>
  </r>
  <r>
    <x v="5"/>
    <s v="skaits"/>
    <n v="227"/>
    <x v="0"/>
    <s v="Liepāja"/>
    <x v="7"/>
  </r>
  <r>
    <x v="6"/>
    <s v="km"/>
    <n v="197017.65"/>
    <x v="0"/>
    <s v="Liepāja"/>
    <x v="7"/>
  </r>
  <r>
    <x v="7"/>
    <s v="km"/>
    <n v="193640.53"/>
    <x v="0"/>
    <s v="Liepāja"/>
    <x v="7"/>
  </r>
  <r>
    <x v="8"/>
    <s v="km"/>
    <n v="0"/>
    <x v="0"/>
    <s v="Liepāja"/>
    <x v="7"/>
  </r>
  <r>
    <x v="9"/>
    <s v="km"/>
    <n v="3377.12"/>
    <x v="0"/>
    <s v="Liepāja"/>
    <x v="7"/>
  </r>
  <r>
    <x v="10"/>
    <s v="EUR/km"/>
    <n v="1.7253197013213362"/>
    <x v="0"/>
    <s v="Liepāja"/>
    <x v="7"/>
  </r>
  <r>
    <x v="0"/>
    <m/>
    <n v="-1120.5747288309296"/>
    <x v="1"/>
    <s v="Liepāja"/>
    <x v="7"/>
  </r>
  <r>
    <x v="1"/>
    <s v="skaits"/>
    <n v="13"/>
    <x v="1"/>
    <s v="Liepāja"/>
    <x v="7"/>
  </r>
  <r>
    <x v="2"/>
    <s v="skaits"/>
    <n v="9106"/>
    <x v="1"/>
    <s v="Liepāja"/>
    <x v="7"/>
  </r>
  <r>
    <x v="3"/>
    <s v="skaits"/>
    <n v="8929"/>
    <x v="1"/>
    <s v="Liepāja"/>
    <x v="7"/>
  </r>
  <r>
    <x v="4"/>
    <s v="skaits"/>
    <n v="0"/>
    <x v="1"/>
    <s v="Liepāja"/>
    <x v="7"/>
  </r>
  <r>
    <x v="5"/>
    <s v="skaits"/>
    <n v="177"/>
    <x v="1"/>
    <s v="Liepāja"/>
    <x v="7"/>
  </r>
  <r>
    <x v="6"/>
    <s v="km"/>
    <n v="86831.03"/>
    <x v="1"/>
    <s v="Liepāja"/>
    <x v="7"/>
  </r>
  <r>
    <x v="7"/>
    <s v="km"/>
    <n v="85566.62"/>
    <x v="1"/>
    <s v="Liepāja"/>
    <x v="7"/>
  </r>
  <r>
    <x v="8"/>
    <s v="km"/>
    <n v="0"/>
    <x v="1"/>
    <s v="Liepāja"/>
    <x v="7"/>
  </r>
  <r>
    <x v="9"/>
    <s v="km"/>
    <n v="1264.4100000000001"/>
    <x v="1"/>
    <s v="Liepāja"/>
    <x v="7"/>
  </r>
  <r>
    <x v="10"/>
    <s v="EUR/km"/>
    <n v="0.8862431717804562"/>
    <x v="1"/>
    <s v="Liepāja"/>
    <x v="7"/>
  </r>
  <r>
    <x v="0"/>
    <m/>
    <n v="-5405.919003581751"/>
    <x v="2"/>
    <s v="Liepāja"/>
    <x v="7"/>
  </r>
  <r>
    <x v="1"/>
    <s v="skaits"/>
    <n v="20"/>
    <x v="2"/>
    <s v="Liepāja"/>
    <x v="7"/>
  </r>
  <r>
    <x v="2"/>
    <s v="skaits"/>
    <n v="8116"/>
    <x v="2"/>
    <s v="Liepāja"/>
    <x v="7"/>
  </r>
  <r>
    <x v="3"/>
    <s v="skaits"/>
    <n v="7874"/>
    <x v="2"/>
    <s v="Liepāja"/>
    <x v="7"/>
  </r>
  <r>
    <x v="4"/>
    <s v="skaits"/>
    <n v="0"/>
    <x v="2"/>
    <s v="Liepāja"/>
    <x v="7"/>
  </r>
  <r>
    <x v="5"/>
    <s v="skaits"/>
    <n v="242"/>
    <x v="2"/>
    <s v="Liepāja"/>
    <x v="7"/>
  </r>
  <r>
    <x v="6"/>
    <s v="km"/>
    <n v="57790.919000000002"/>
    <x v="2"/>
    <s v="Liepāja"/>
    <x v="7"/>
  </r>
  <r>
    <x v="7"/>
    <s v="km"/>
    <n v="56054.199000000001"/>
    <x v="2"/>
    <s v="Liepāja"/>
    <x v="7"/>
  </r>
  <r>
    <x v="8"/>
    <s v="km"/>
    <n v="0"/>
    <x v="2"/>
    <s v="Liepāja"/>
    <x v="7"/>
  </r>
  <r>
    <x v="9"/>
    <s v="km"/>
    <n v="1736.72"/>
    <x v="2"/>
    <s v="Liepāja"/>
    <x v="7"/>
  </r>
  <r>
    <x v="10"/>
    <s v="EUR/km"/>
    <n v="3.1127176537275711"/>
    <x v="2"/>
    <s v="Liepāja"/>
    <x v="7"/>
  </r>
  <r>
    <x v="11"/>
    <m/>
    <n v="190.82645999999997"/>
    <x v="0"/>
    <s v="Liepāja"/>
    <x v="7"/>
  </r>
  <r>
    <x v="12"/>
    <m/>
    <m/>
    <x v="0"/>
    <s v="Liepāja"/>
    <x v="7"/>
  </r>
  <r>
    <x v="13"/>
    <s v="litri"/>
    <m/>
    <x v="0"/>
    <s v="Liepāja"/>
    <x v="7"/>
  </r>
  <r>
    <x v="63"/>
    <s v="litri"/>
    <n v="0.5"/>
    <x v="0"/>
    <s v="Liepāja"/>
    <x v="7"/>
  </r>
  <r>
    <x v="31"/>
    <s v="gabali"/>
    <n v="1.04"/>
    <x v="0"/>
    <s v="Liepāja"/>
    <x v="7"/>
  </r>
  <r>
    <x v="15"/>
    <s v="gabali"/>
    <m/>
    <x v="0"/>
    <s v="Liepāja"/>
    <x v="7"/>
  </r>
  <r>
    <x v="78"/>
    <s v="gabali"/>
    <n v="614"/>
    <x v="0"/>
    <s v="Liepāja"/>
    <x v="7"/>
  </r>
  <r>
    <x v="79"/>
    <s v="gabali"/>
    <n v="161"/>
    <x v="0"/>
    <s v="Liepāja"/>
    <x v="7"/>
  </r>
  <r>
    <x v="33"/>
    <m/>
    <m/>
    <x v="0"/>
    <s v="Liepāja"/>
    <x v="7"/>
  </r>
  <r>
    <x v="80"/>
    <s v="gabali"/>
    <m/>
    <x v="0"/>
    <s v="Liepāja"/>
    <x v="7"/>
  </r>
  <r>
    <x v="81"/>
    <s v="gabali"/>
    <m/>
    <x v="0"/>
    <s v="Liepāja"/>
    <x v="7"/>
  </r>
  <r>
    <x v="19"/>
    <s v="EUR/vien bez PVN"/>
    <m/>
    <x v="0"/>
    <s v="Liepāja"/>
    <x v="7"/>
  </r>
  <r>
    <x v="20"/>
    <s v="EUR/vien bez PVN"/>
    <m/>
    <x v="0"/>
    <s v="Liepāja"/>
    <x v="7"/>
  </r>
  <r>
    <x v="63"/>
    <s v="EUR/vien bez PVN"/>
    <n v="4.4649999999999999"/>
    <x v="0"/>
    <s v="Liepāja"/>
    <x v="7"/>
  </r>
  <r>
    <x v="31"/>
    <s v="EUR/vien bez PVN"/>
    <n v="4.5"/>
    <x v="0"/>
    <s v="Liepāja"/>
    <x v="7"/>
  </r>
  <r>
    <x v="15"/>
    <s v="EUR/vien bez PVN"/>
    <m/>
    <x v="0"/>
    <s v="Liepāja"/>
    <x v="7"/>
  </r>
  <r>
    <x v="78"/>
    <s v="EUR/vien bez PVN"/>
    <n v="0.28999999999999998"/>
    <x v="0"/>
    <s v="Liepāja"/>
    <x v="7"/>
  </r>
  <r>
    <x v="79"/>
    <s v="EUR/vien bez PVN"/>
    <n v="3.6360000000000003E-2"/>
    <x v="0"/>
    <s v="Liepāja"/>
    <x v="7"/>
  </r>
  <r>
    <x v="33"/>
    <s v="EUR/vien bez PVN"/>
    <m/>
    <x v="0"/>
    <s v="Liepāja"/>
    <x v="7"/>
  </r>
  <r>
    <x v="80"/>
    <s v="EUR/vien bez PVN"/>
    <m/>
    <x v="0"/>
    <s v="Liepāja"/>
    <x v="7"/>
  </r>
  <r>
    <x v="81"/>
    <s v="EUR/vien bez PVN"/>
    <m/>
    <x v="0"/>
    <s v="Liepāja"/>
    <x v="7"/>
  </r>
  <r>
    <x v="11"/>
    <m/>
    <n v="81.286945000000003"/>
    <x v="1"/>
    <s v="Liepāja"/>
    <x v="7"/>
  </r>
  <r>
    <x v="12"/>
    <m/>
    <m/>
    <x v="1"/>
    <s v="Liepāja"/>
    <x v="7"/>
  </r>
  <r>
    <x v="13"/>
    <s v="litri"/>
    <m/>
    <x v="1"/>
    <s v="Liepāja"/>
    <x v="7"/>
  </r>
  <r>
    <x v="63"/>
    <s v="litri"/>
    <n v="0.20899999999999999"/>
    <x v="1"/>
    <s v="Liepāja"/>
    <x v="7"/>
  </r>
  <r>
    <x v="31"/>
    <s v="gabali"/>
    <n v="0.43"/>
    <x v="1"/>
    <s v="Liepāja"/>
    <x v="7"/>
  </r>
  <r>
    <x v="15"/>
    <s v="gabali"/>
    <m/>
    <x v="1"/>
    <s v="Liepāja"/>
    <x v="7"/>
  </r>
  <r>
    <x v="78"/>
    <s v="gabali"/>
    <n v="259"/>
    <x v="1"/>
    <s v="Liepāja"/>
    <x v="7"/>
  </r>
  <r>
    <x v="79"/>
    <s v="gabali"/>
    <n v="91"/>
    <x v="1"/>
    <s v="Liepāja"/>
    <x v="7"/>
  </r>
  <r>
    <x v="33"/>
    <m/>
    <m/>
    <x v="1"/>
    <s v="Liepāja"/>
    <x v="7"/>
  </r>
  <r>
    <x v="80"/>
    <s v="gabali"/>
    <m/>
    <x v="1"/>
    <s v="Liepāja"/>
    <x v="7"/>
  </r>
  <r>
    <x v="81"/>
    <s v="gabali"/>
    <m/>
    <x v="1"/>
    <s v="Liepāja"/>
    <x v="7"/>
  </r>
  <r>
    <x v="19"/>
    <s v="EUR/vien bez PVN"/>
    <m/>
    <x v="1"/>
    <s v="Liepāja"/>
    <x v="7"/>
  </r>
  <r>
    <x v="20"/>
    <s v="EUR/vien bez PVN"/>
    <m/>
    <x v="1"/>
    <s v="Liepāja"/>
    <x v="7"/>
  </r>
  <r>
    <x v="63"/>
    <s v="EUR/vien bez PVN"/>
    <n v="4.4649999999999999"/>
    <x v="1"/>
    <s v="Liepāja"/>
    <x v="7"/>
  </r>
  <r>
    <x v="31"/>
    <s v="EUR/vien bez PVN"/>
    <n v="4.5"/>
    <x v="1"/>
    <s v="Liepāja"/>
    <x v="7"/>
  </r>
  <r>
    <x v="15"/>
    <s v="EUR/vien bez PVN"/>
    <m/>
    <x v="1"/>
    <s v="Liepāja"/>
    <x v="7"/>
  </r>
  <r>
    <x v="78"/>
    <s v="EUR/vien bez PVN"/>
    <n v="0.28999999999999998"/>
    <x v="1"/>
    <s v="Liepāja"/>
    <x v="7"/>
  </r>
  <r>
    <x v="79"/>
    <s v="EUR/vien bez PVN"/>
    <n v="3.6360000000000003E-2"/>
    <x v="1"/>
    <s v="Liepāja"/>
    <x v="7"/>
  </r>
  <r>
    <x v="33"/>
    <s v="EUR/vien bez PVN"/>
    <m/>
    <x v="1"/>
    <s v="Liepāja"/>
    <x v="7"/>
  </r>
  <r>
    <x v="80"/>
    <s v="EUR/vien bez PVN"/>
    <m/>
    <x v="1"/>
    <s v="Liepāja"/>
    <x v="7"/>
  </r>
  <r>
    <x v="81"/>
    <s v="EUR/vien bez PVN"/>
    <m/>
    <x v="1"/>
    <s v="Liepāja"/>
    <x v="7"/>
  </r>
  <r>
    <x v="11"/>
    <m/>
    <n v="100.00980000000001"/>
    <x v="2"/>
    <s v="Liepāja"/>
    <x v="7"/>
  </r>
  <r>
    <x v="12"/>
    <m/>
    <m/>
    <x v="2"/>
    <s v="Liepāja"/>
    <x v="7"/>
  </r>
  <r>
    <x v="13"/>
    <s v="litri"/>
    <n v="10"/>
    <x v="2"/>
    <s v="Liepāja"/>
    <x v="7"/>
  </r>
  <r>
    <x v="63"/>
    <s v="litri"/>
    <m/>
    <x v="2"/>
    <s v="Liepāja"/>
    <x v="7"/>
  </r>
  <r>
    <x v="31"/>
    <s v="gabali"/>
    <m/>
    <x v="2"/>
    <s v="Liepāja"/>
    <x v="7"/>
  </r>
  <r>
    <x v="15"/>
    <s v="gabali"/>
    <n v="50"/>
    <x v="2"/>
    <s v="Liepāja"/>
    <x v="7"/>
  </r>
  <r>
    <x v="78"/>
    <s v="gabali"/>
    <m/>
    <x v="2"/>
    <s v="Liepāja"/>
    <x v="7"/>
  </r>
  <r>
    <x v="79"/>
    <s v="gabali"/>
    <m/>
    <x v="2"/>
    <s v="Liepāja"/>
    <x v="7"/>
  </r>
  <r>
    <x v="33"/>
    <m/>
    <m/>
    <x v="2"/>
    <s v="Liepāja"/>
    <x v="7"/>
  </r>
  <r>
    <x v="80"/>
    <s v="gabali"/>
    <n v="10"/>
    <x v="2"/>
    <s v="Liepāja"/>
    <x v="7"/>
  </r>
  <r>
    <x v="81"/>
    <s v="gabali"/>
    <n v="3"/>
    <x v="2"/>
    <s v="Liepāja"/>
    <x v="7"/>
  </r>
  <r>
    <x v="19"/>
    <s v="EUR/vien bez PVN"/>
    <m/>
    <x v="2"/>
    <s v="Liepāja"/>
    <x v="7"/>
  </r>
  <r>
    <x v="20"/>
    <s v="EUR/vien bez PVN"/>
    <n v="2.472"/>
    <x v="2"/>
    <s v="Liepāja"/>
    <x v="7"/>
  </r>
  <r>
    <x v="63"/>
    <s v="EUR/vien bez PVN"/>
    <m/>
    <x v="2"/>
    <s v="Liepāja"/>
    <x v="7"/>
  </r>
  <r>
    <x v="31"/>
    <s v="EUR/vien bez PVN"/>
    <m/>
    <x v="2"/>
    <s v="Liepāja"/>
    <x v="7"/>
  </r>
  <r>
    <x v="15"/>
    <s v="EUR/vien bez PVN"/>
    <n v="0.35680000000000001"/>
    <x v="2"/>
    <s v="Liepāja"/>
    <x v="7"/>
  </r>
  <r>
    <x v="78"/>
    <s v="EUR/vien bez PVN"/>
    <m/>
    <x v="2"/>
    <s v="Liepāja"/>
    <x v="7"/>
  </r>
  <r>
    <x v="79"/>
    <s v="EUR/vien bez PVN"/>
    <m/>
    <x v="2"/>
    <s v="Liepāja"/>
    <x v="7"/>
  </r>
  <r>
    <x v="33"/>
    <s v="EUR/vien bez PVN"/>
    <m/>
    <x v="2"/>
    <s v="Liepāja"/>
    <x v="7"/>
  </r>
  <r>
    <x v="80"/>
    <s v="EUR/vien bez PVN"/>
    <n v="3.1960000000000002"/>
    <x v="2"/>
    <s v="Liepāja"/>
    <x v="7"/>
  </r>
  <r>
    <x v="81"/>
    <s v="EUR/vien bez PVN"/>
    <n v="8.4966000000000008"/>
    <x v="2"/>
    <s v="Liepāja"/>
    <x v="7"/>
  </r>
  <r>
    <x v="25"/>
    <m/>
    <n v="35566.216270804682"/>
    <x v="0"/>
    <s v="Liepāja"/>
    <x v="7"/>
  </r>
  <r>
    <x v="82"/>
    <s v="EUR bez PVN"/>
    <n v="124641.08"/>
    <x v="0"/>
    <s v="Liepāja"/>
    <x v="7"/>
  </r>
  <r>
    <x v="83"/>
    <s v="km"/>
    <n v="193640.53"/>
    <x v="0"/>
    <s v="Liepāja"/>
    <x v="7"/>
  </r>
  <r>
    <x v="84"/>
    <s v="EUR bez PVN"/>
    <n v="197227.57"/>
    <x v="0"/>
    <s v="Liepāja"/>
    <x v="7"/>
  </r>
  <r>
    <x v="85"/>
    <s v="km"/>
    <n v="238386.46599999999"/>
    <x v="0"/>
    <s v="Liepāja"/>
    <x v="7"/>
  </r>
  <r>
    <x v="25"/>
    <m/>
    <n v="15919.933647113457"/>
    <x v="1"/>
    <s v="Liepāja"/>
    <x v="7"/>
  </r>
  <r>
    <x v="82"/>
    <s v="EUR bez PVN"/>
    <n v="48669.33"/>
    <x v="1"/>
    <s v="Liepāja"/>
    <x v="7"/>
  </r>
  <r>
    <x v="83"/>
    <s v="km"/>
    <n v="85566.62"/>
    <x v="1"/>
    <s v="Liepāja"/>
    <x v="7"/>
  </r>
  <r>
    <x v="84"/>
    <s v="EUR bez PVN"/>
    <n v="65940.740000000005"/>
    <x v="1"/>
    <s v="Liepāja"/>
    <x v="7"/>
  </r>
  <r>
    <x v="85"/>
    <s v="km"/>
    <n v="87357.03"/>
    <x v="1"/>
    <s v="Liepāja"/>
    <x v="7"/>
  </r>
  <r>
    <x v="25"/>
    <m/>
    <n v="9727.7845444887462"/>
    <x v="2"/>
    <s v="Liepāja"/>
    <x v="7"/>
  </r>
  <r>
    <x v="82"/>
    <s v="EUR bez PVN"/>
    <n v="40456.28"/>
    <x v="2"/>
    <s v="Liepāja"/>
    <x v="7"/>
  </r>
  <r>
    <x v="83"/>
    <s v="km"/>
    <n v="56054.199000000001"/>
    <x v="2"/>
    <s v="Liepāja"/>
    <x v="7"/>
  </r>
  <r>
    <x v="84"/>
    <s v="EUR bez PVN"/>
    <n v="54298.94"/>
    <x v="2"/>
    <s v="Liepāja"/>
    <x v="7"/>
  </r>
  <r>
    <x v="85"/>
    <s v="km"/>
    <n v="60650.400000000001"/>
    <x v="2"/>
    <s v="Liepāja"/>
    <x v="7"/>
  </r>
  <r>
    <x v="0"/>
    <m/>
    <n v="-6949.3708200000237"/>
    <x v="0"/>
    <s v="Liepāja"/>
    <x v="8"/>
  </r>
  <r>
    <x v="1"/>
    <s v="skaits"/>
    <n v="43"/>
    <x v="0"/>
    <s v="Liepāja"/>
    <x v="8"/>
  </r>
  <r>
    <x v="2"/>
    <s v="skaits"/>
    <n v="13099"/>
    <x v="0"/>
    <s v="Liepāja"/>
    <x v="8"/>
  </r>
  <r>
    <x v="3"/>
    <s v="skaits"/>
    <n v="12827"/>
    <x v="0"/>
    <s v="Liepāja"/>
    <x v="8"/>
  </r>
  <r>
    <x v="4"/>
    <s v="skaits"/>
    <n v="0"/>
    <x v="0"/>
    <s v="Liepāja"/>
    <x v="8"/>
  </r>
  <r>
    <x v="5"/>
    <s v="skaits"/>
    <n v="272"/>
    <x v="0"/>
    <s v="Liepāja"/>
    <x v="8"/>
  </r>
  <r>
    <x v="6"/>
    <s v="km"/>
    <n v="188387.64"/>
    <x v="0"/>
    <s v="Liepāja"/>
    <x v="8"/>
  </r>
  <r>
    <x v="7"/>
    <s v="km"/>
    <n v="184240"/>
    <x v="0"/>
    <s v="Liepāja"/>
    <x v="8"/>
  </r>
  <r>
    <x v="8"/>
    <s v="km"/>
    <n v="0"/>
    <x v="0"/>
    <s v="Liepāja"/>
    <x v="8"/>
  </r>
  <r>
    <x v="9"/>
    <s v="km"/>
    <n v="4147.6400000000003"/>
    <x v="0"/>
    <s v="Liepāja"/>
    <x v="8"/>
  </r>
  <r>
    <x v="10"/>
    <s v="EUR/km"/>
    <n v="1.6755"/>
    <x v="0"/>
    <s v="Liepāja"/>
    <x v="8"/>
  </r>
  <r>
    <x v="0"/>
    <m/>
    <n v="-1294.2280539999945"/>
    <x v="1"/>
    <s v="Liepāja"/>
    <x v="8"/>
  </r>
  <r>
    <x v="1"/>
    <s v="skaits"/>
    <n v="13"/>
    <x v="1"/>
    <s v="Liepāja"/>
    <x v="8"/>
  </r>
  <r>
    <x v="2"/>
    <s v="skaits"/>
    <n v="8889"/>
    <x v="1"/>
    <s v="Liepāja"/>
    <x v="8"/>
  </r>
  <r>
    <x v="3"/>
    <s v="skaits"/>
    <n v="8721"/>
    <x v="1"/>
    <s v="Liepāja"/>
    <x v="8"/>
  </r>
  <r>
    <x v="4"/>
    <s v="skaits"/>
    <n v="0"/>
    <x v="1"/>
    <s v="Liepāja"/>
    <x v="8"/>
  </r>
  <r>
    <x v="5"/>
    <s v="skaits"/>
    <n v="168"/>
    <x v="1"/>
    <s v="Liepāja"/>
    <x v="8"/>
  </r>
  <r>
    <x v="6"/>
    <s v="km"/>
    <n v="82584.09"/>
    <x v="1"/>
    <s v="Liepāja"/>
    <x v="8"/>
  </r>
  <r>
    <x v="7"/>
    <s v="km"/>
    <n v="81070.55"/>
    <x v="1"/>
    <s v="Liepāja"/>
    <x v="8"/>
  </r>
  <r>
    <x v="8"/>
    <s v="km"/>
    <n v="0"/>
    <x v="1"/>
    <s v="Liepāja"/>
    <x v="8"/>
  </r>
  <r>
    <x v="9"/>
    <s v="km"/>
    <n v="1513.54"/>
    <x v="1"/>
    <s v="Liepāja"/>
    <x v="8"/>
  </r>
  <r>
    <x v="10"/>
    <s v="EUR/km"/>
    <n v="0.85509999999999997"/>
    <x v="1"/>
    <s v="Liepāja"/>
    <x v="8"/>
  </r>
  <r>
    <x v="0"/>
    <m/>
    <n v="-6813.2444880000075"/>
    <x v="2"/>
    <s v="Liepāja"/>
    <x v="8"/>
  </r>
  <r>
    <x v="1"/>
    <s v="skaits"/>
    <n v="20"/>
    <x v="2"/>
    <s v="Liepāja"/>
    <x v="8"/>
  </r>
  <r>
    <x v="2"/>
    <s v="skaits"/>
    <n v="7884"/>
    <x v="2"/>
    <s v="Liepāja"/>
    <x v="8"/>
  </r>
  <r>
    <x v="3"/>
    <s v="skaits"/>
    <n v="7576"/>
    <x v="2"/>
    <s v="Liepāja"/>
    <x v="8"/>
  </r>
  <r>
    <x v="4"/>
    <s v="skaits"/>
    <n v="0"/>
    <x v="2"/>
    <s v="Liepāja"/>
    <x v="8"/>
  </r>
  <r>
    <x v="5"/>
    <s v="skaits"/>
    <n v="308"/>
    <x v="2"/>
    <s v="Liepāja"/>
    <x v="8"/>
  </r>
  <r>
    <x v="6"/>
    <s v="km"/>
    <n v="56138.485999999997"/>
    <x v="2"/>
    <s v="Liepāja"/>
    <x v="8"/>
  </r>
  <r>
    <x v="7"/>
    <s v="km"/>
    <n v="53928.115999999995"/>
    <x v="2"/>
    <s v="Liepāja"/>
    <x v="8"/>
  </r>
  <r>
    <x v="8"/>
    <s v="km"/>
    <n v="0"/>
    <x v="2"/>
    <s v="Liepāja"/>
    <x v="8"/>
  </r>
  <r>
    <x v="9"/>
    <s v="km"/>
    <n v="2210.37"/>
    <x v="2"/>
    <s v="Liepāja"/>
    <x v="8"/>
  </r>
  <r>
    <x v="10"/>
    <s v="EUR/km"/>
    <n v="3.0823999999999998"/>
    <x v="2"/>
    <s v="Liepāja"/>
    <x v="8"/>
  </r>
  <r>
    <x v="11"/>
    <m/>
    <n v="1.0979999999999999"/>
    <x v="0"/>
    <s v="Liepāja"/>
    <x v="8"/>
  </r>
  <r>
    <x v="12"/>
    <m/>
    <m/>
    <x v="0"/>
    <s v="Liepāja"/>
    <x v="8"/>
  </r>
  <r>
    <x v="86"/>
    <s v="litri"/>
    <m/>
    <x v="0"/>
    <s v="Liepāja"/>
    <x v="8"/>
  </r>
  <r>
    <x v="87"/>
    <s v="gabali"/>
    <n v="0.24399999999999999"/>
    <x v="0"/>
    <s v="Liepāja"/>
    <x v="8"/>
  </r>
  <r>
    <x v="19"/>
    <s v="EUR/vien bez PVN"/>
    <m/>
    <x v="0"/>
    <s v="Liepāja"/>
    <x v="8"/>
  </r>
  <r>
    <x v="86"/>
    <m/>
    <m/>
    <x v="0"/>
    <s v="Liepāja"/>
    <x v="8"/>
  </r>
  <r>
    <x v="87"/>
    <m/>
    <n v="4.5"/>
    <x v="0"/>
    <s v="Liepāja"/>
    <x v="8"/>
  </r>
  <r>
    <x v="11"/>
    <m/>
    <n v="0.39599999999999996"/>
    <x v="1"/>
    <s v="Liepāja"/>
    <x v="8"/>
  </r>
  <r>
    <x v="12"/>
    <m/>
    <m/>
    <x v="1"/>
    <s v="Liepāja"/>
    <x v="8"/>
  </r>
  <r>
    <x v="86"/>
    <s v="litri"/>
    <m/>
    <x v="1"/>
    <s v="Liepāja"/>
    <x v="8"/>
  </r>
  <r>
    <x v="87"/>
    <s v="gabali"/>
    <n v="8.7999999999999995E-2"/>
    <x v="1"/>
    <s v="Liepāja"/>
    <x v="8"/>
  </r>
  <r>
    <x v="19"/>
    <s v="EUR/vien bez PVN"/>
    <m/>
    <x v="1"/>
    <s v="Liepāja"/>
    <x v="8"/>
  </r>
  <r>
    <x v="86"/>
    <m/>
    <m/>
    <x v="1"/>
    <s v="Liepāja"/>
    <x v="8"/>
  </r>
  <r>
    <x v="87"/>
    <m/>
    <n v="4.5"/>
    <x v="1"/>
    <s v="Liepāja"/>
    <x v="8"/>
  </r>
  <r>
    <x v="11"/>
    <m/>
    <n v="14.31"/>
    <x v="2"/>
    <s v="Liepāja"/>
    <x v="8"/>
  </r>
  <r>
    <x v="12"/>
    <m/>
    <m/>
    <x v="2"/>
    <s v="Liepāja"/>
    <x v="8"/>
  </r>
  <r>
    <x v="86"/>
    <s v="litri"/>
    <n v="5"/>
    <x v="2"/>
    <s v="Liepāja"/>
    <x v="8"/>
  </r>
  <r>
    <x v="87"/>
    <s v="gabali"/>
    <m/>
    <x v="2"/>
    <s v="Liepāja"/>
    <x v="8"/>
  </r>
  <r>
    <x v="19"/>
    <s v="EUR/vien bez PVN"/>
    <m/>
    <x v="2"/>
    <s v="Liepāja"/>
    <x v="8"/>
  </r>
  <r>
    <x v="86"/>
    <m/>
    <n v="2.8620000000000001"/>
    <x v="2"/>
    <s v="Liepāja"/>
    <x v="8"/>
  </r>
  <r>
    <x v="87"/>
    <m/>
    <m/>
    <x v="2"/>
    <s v="Liepāja"/>
    <x v="8"/>
  </r>
  <r>
    <x v="25"/>
    <m/>
    <n v="29565.454280688326"/>
    <x v="0"/>
    <s v="Liepāja"/>
    <x v="8"/>
  </r>
  <r>
    <x v="88"/>
    <s v="EUR bez PVN"/>
    <n v="123559.9"/>
    <x v="0"/>
    <s v="Liepāja"/>
    <x v="8"/>
  </r>
  <r>
    <x v="89"/>
    <s v="km"/>
    <n v="184240"/>
    <x v="0"/>
    <s v="Liepāja"/>
    <x v="8"/>
  </r>
  <r>
    <x v="90"/>
    <s v="EUR bez PVN"/>
    <n v="183007.33"/>
    <x v="0"/>
    <s v="Liepāja"/>
    <x v="8"/>
  </r>
  <r>
    <x v="91"/>
    <s v="km"/>
    <n v="220193.91"/>
    <x v="0"/>
    <s v="Liepāja"/>
    <x v="8"/>
  </r>
  <r>
    <x v="25"/>
    <m/>
    <n v="20292.916941084117"/>
    <x v="1"/>
    <s v="Liepāja"/>
    <x v="8"/>
  </r>
  <r>
    <x v="88"/>
    <s v="EUR bez PVN"/>
    <n v="41461.47"/>
    <x v="1"/>
    <s v="Liepāja"/>
    <x v="8"/>
  </r>
  <r>
    <x v="89"/>
    <s v="km"/>
    <n v="81070.55"/>
    <x v="1"/>
    <s v="Liepāja"/>
    <x v="8"/>
  </r>
  <r>
    <x v="90"/>
    <s v="EUR bez PVN"/>
    <n v="64140.29"/>
    <x v="1"/>
    <s v="Liepāja"/>
    <x v="8"/>
  </r>
  <r>
    <x v="91"/>
    <s v="km"/>
    <n v="84202.739999999976"/>
    <x v="1"/>
    <s v="Liepāja"/>
    <x v="8"/>
  </r>
  <r>
    <x v="25"/>
    <m/>
    <n v="7602.4766677485641"/>
    <x v="2"/>
    <s v="Liepāja"/>
    <x v="8"/>
  </r>
  <r>
    <x v="88"/>
    <s v="EUR bez PVN"/>
    <n v="40505.980000000003"/>
    <x v="2"/>
    <s v="Liepāja"/>
    <x v="8"/>
  </r>
  <r>
    <x v="89"/>
    <s v="km"/>
    <n v="53928.115999999995"/>
    <x v="2"/>
    <s v="Liepāja"/>
    <x v="8"/>
  </r>
  <r>
    <x v="90"/>
    <s v="EUR bez PVN"/>
    <n v="51708.99"/>
    <x v="2"/>
    <s v="Liepāja"/>
    <x v="8"/>
  </r>
  <r>
    <x v="91"/>
    <s v="km"/>
    <n v="57964.204302406324"/>
    <x v="2"/>
    <s v="Liepāja"/>
    <x v="8"/>
  </r>
  <r>
    <x v="0"/>
    <m/>
    <n v="0"/>
    <x v="0"/>
    <s v="Liepāja"/>
    <x v="9"/>
  </r>
  <r>
    <x v="1"/>
    <s v="skaits"/>
    <n v="43"/>
    <x v="0"/>
    <s v="Liepāja"/>
    <x v="9"/>
  </r>
  <r>
    <x v="2"/>
    <s v="skaits"/>
    <n v="13386"/>
    <x v="0"/>
    <s v="Liepāja"/>
    <x v="9"/>
  </r>
  <r>
    <x v="3"/>
    <s v="skaits"/>
    <n v="13386"/>
    <x v="0"/>
    <s v="Liepāja"/>
    <x v="9"/>
  </r>
  <r>
    <x v="4"/>
    <s v="skaits"/>
    <n v="0"/>
    <x v="0"/>
    <s v="Liepāja"/>
    <x v="9"/>
  </r>
  <r>
    <x v="5"/>
    <s v="skaits"/>
    <n v="0"/>
    <x v="0"/>
    <s v="Liepāja"/>
    <x v="9"/>
  </r>
  <r>
    <x v="6"/>
    <s v="km"/>
    <n v="192693.34"/>
    <x v="0"/>
    <s v="Liepāja"/>
    <x v="9"/>
  </r>
  <r>
    <x v="7"/>
    <s v="km"/>
    <n v="192693.34"/>
    <x v="0"/>
    <s v="Liepāja"/>
    <x v="9"/>
  </r>
  <r>
    <x v="8"/>
    <s v="km"/>
    <n v="0"/>
    <x v="0"/>
    <s v="Liepāja"/>
    <x v="9"/>
  </r>
  <r>
    <x v="9"/>
    <s v="km"/>
    <m/>
    <x v="0"/>
    <s v="Liepāja"/>
    <x v="9"/>
  </r>
  <r>
    <x v="10"/>
    <s v="EUR/km"/>
    <n v="2.8471000000000002"/>
    <x v="0"/>
    <s v="Liepāja"/>
    <x v="9"/>
  </r>
  <r>
    <x v="0"/>
    <m/>
    <n v="0"/>
    <x v="1"/>
    <s v="Liepāja"/>
    <x v="9"/>
  </r>
  <r>
    <x v="1"/>
    <s v="skaits"/>
    <n v="13"/>
    <x v="1"/>
    <s v="Liepāja"/>
    <x v="9"/>
  </r>
  <r>
    <x v="2"/>
    <s v="skaits"/>
    <n v="9097"/>
    <x v="1"/>
    <s v="Liepāja"/>
    <x v="9"/>
  </r>
  <r>
    <x v="3"/>
    <s v="skaits"/>
    <n v="9097"/>
    <x v="1"/>
    <s v="Liepāja"/>
    <x v="9"/>
  </r>
  <r>
    <x v="4"/>
    <s v="skaits"/>
    <n v="0"/>
    <x v="1"/>
    <s v="Liepāja"/>
    <x v="9"/>
  </r>
  <r>
    <x v="5"/>
    <s v="skaits"/>
    <n v="0"/>
    <x v="1"/>
    <s v="Liepāja"/>
    <x v="9"/>
  </r>
  <r>
    <x v="6"/>
    <s v="km"/>
    <n v="84976.39"/>
    <x v="1"/>
    <s v="Liepāja"/>
    <x v="9"/>
  </r>
  <r>
    <x v="7"/>
    <s v="km"/>
    <n v="84976.39"/>
    <x v="1"/>
    <s v="Liepāja"/>
    <x v="9"/>
  </r>
  <r>
    <x v="8"/>
    <s v="km"/>
    <m/>
    <x v="1"/>
    <s v="Liepāja"/>
    <x v="9"/>
  </r>
  <r>
    <x v="9"/>
    <s v="km"/>
    <m/>
    <x v="1"/>
    <s v="Liepāja"/>
    <x v="9"/>
  </r>
  <r>
    <x v="10"/>
    <s v="EUR/km"/>
    <n v="1.804"/>
    <x v="1"/>
    <s v="Liepāja"/>
    <x v="9"/>
  </r>
  <r>
    <x v="0"/>
    <m/>
    <n v="0"/>
    <x v="2"/>
    <s v="Liepāja"/>
    <x v="9"/>
  </r>
  <r>
    <x v="1"/>
    <s v="skaits"/>
    <n v="20"/>
    <x v="2"/>
    <s v="Liepāja"/>
    <x v="9"/>
  </r>
  <r>
    <x v="2"/>
    <s v="skaits"/>
    <n v="8116"/>
    <x v="2"/>
    <s v="Liepāja"/>
    <x v="9"/>
  </r>
  <r>
    <x v="3"/>
    <s v="skaits"/>
    <n v="8116"/>
    <x v="2"/>
    <s v="Liepāja"/>
    <x v="9"/>
  </r>
  <r>
    <x v="4"/>
    <s v="skaits"/>
    <n v="0"/>
    <x v="2"/>
    <s v="Liepāja"/>
    <x v="9"/>
  </r>
  <r>
    <x v="5"/>
    <s v="skaits"/>
    <n v="0"/>
    <x v="2"/>
    <s v="Liepāja"/>
    <x v="9"/>
  </r>
  <r>
    <x v="6"/>
    <s v="km"/>
    <n v="57790.92"/>
    <x v="2"/>
    <s v="Liepāja"/>
    <x v="9"/>
  </r>
  <r>
    <x v="7"/>
    <s v="km"/>
    <n v="57790.92"/>
    <x v="2"/>
    <s v="Liepāja"/>
    <x v="9"/>
  </r>
  <r>
    <x v="8"/>
    <s v="km"/>
    <m/>
    <x v="2"/>
    <s v="Liepāja"/>
    <x v="9"/>
  </r>
  <r>
    <x v="9"/>
    <s v="km"/>
    <m/>
    <x v="2"/>
    <s v="Liepāja"/>
    <x v="9"/>
  </r>
  <r>
    <x v="10"/>
    <s v="EUR/km"/>
    <n v="5.8507999999999996"/>
    <x v="2"/>
    <s v="Liepāja"/>
    <x v="9"/>
  </r>
  <r>
    <x v="11"/>
    <m/>
    <n v="76.087951999999987"/>
    <x v="0"/>
    <s v="Liepāja"/>
    <x v="9"/>
  </r>
  <r>
    <x v="12"/>
    <m/>
    <m/>
    <x v="0"/>
    <s v="Liepāja"/>
    <x v="9"/>
  </r>
  <r>
    <x v="63"/>
    <s v="gabali"/>
    <n v="0.76700000000000002"/>
    <x v="0"/>
    <s v="Liepāja"/>
    <x v="9"/>
  </r>
  <r>
    <x v="92"/>
    <s v="gabali"/>
    <n v="249"/>
    <x v="0"/>
    <s v="Liepāja"/>
    <x v="9"/>
  </r>
  <r>
    <x v="33"/>
    <m/>
    <m/>
    <x v="0"/>
    <s v="Liepāja"/>
    <x v="9"/>
  </r>
  <r>
    <x v="34"/>
    <s v="gabali"/>
    <m/>
    <x v="0"/>
    <s v="Liepāja"/>
    <x v="9"/>
  </r>
  <r>
    <x v="19"/>
    <s v="EUR/vien bez PVN"/>
    <m/>
    <x v="0"/>
    <s v="Liepāja"/>
    <x v="9"/>
  </r>
  <r>
    <x v="63"/>
    <s v="EUR/vien bez PVN"/>
    <n v="5.056"/>
    <x v="0"/>
    <s v="Liepāja"/>
    <x v="9"/>
  </r>
  <r>
    <x v="92"/>
    <s v="EUR/vien bez PVN"/>
    <n v="0.28999999999999998"/>
    <x v="0"/>
    <s v="Liepāja"/>
    <x v="9"/>
  </r>
  <r>
    <x v="33"/>
    <s v="EUR/vien bez PVN"/>
    <m/>
    <x v="0"/>
    <s v="Liepāja"/>
    <x v="9"/>
  </r>
  <r>
    <x v="34"/>
    <s v="EUR/vien bez PVN"/>
    <m/>
    <x v="0"/>
    <s v="Liepāja"/>
    <x v="9"/>
  </r>
  <r>
    <x v="11"/>
    <m/>
    <n v="21.326570999999998"/>
    <x v="1"/>
    <s v="Liepāja"/>
    <x v="9"/>
  </r>
  <r>
    <x v="12"/>
    <m/>
    <m/>
    <x v="1"/>
    <s v="Liepāja"/>
    <x v="9"/>
  </r>
  <r>
    <x v="63"/>
    <s v="gabali"/>
    <n v="0.20300000000000001"/>
    <x v="1"/>
    <s v="Liepāja"/>
    <x v="9"/>
  </r>
  <r>
    <x v="92"/>
    <s v="gabali"/>
    <n v="70"/>
    <x v="1"/>
    <s v="Liepāja"/>
    <x v="9"/>
  </r>
  <r>
    <x v="33"/>
    <m/>
    <m/>
    <x v="1"/>
    <s v="Liepāja"/>
    <x v="9"/>
  </r>
  <r>
    <x v="34"/>
    <s v="gabali"/>
    <m/>
    <x v="1"/>
    <s v="Liepāja"/>
    <x v="9"/>
  </r>
  <r>
    <x v="19"/>
    <s v="EUR/vien bez PVN"/>
    <m/>
    <x v="1"/>
    <s v="Liepāja"/>
    <x v="9"/>
  </r>
  <r>
    <x v="63"/>
    <s v="EUR/vien bez PVN"/>
    <n v="5.0570000000000004"/>
    <x v="1"/>
    <s v="Liepāja"/>
    <x v="9"/>
  </r>
  <r>
    <x v="92"/>
    <s v="EUR/vien bez PVN"/>
    <n v="0.28999999999999998"/>
    <x v="1"/>
    <s v="Liepāja"/>
    <x v="9"/>
  </r>
  <r>
    <x v="33"/>
    <s v="EUR/vien bez PVN"/>
    <m/>
    <x v="1"/>
    <s v="Liepāja"/>
    <x v="9"/>
  </r>
  <r>
    <x v="34"/>
    <s v="EUR/vien bez PVN"/>
    <m/>
    <x v="1"/>
    <s v="Liepāja"/>
    <x v="9"/>
  </r>
  <r>
    <x v="11"/>
    <m/>
    <n v="14.02"/>
    <x v="2"/>
    <s v="Liepāja"/>
    <x v="9"/>
  </r>
  <r>
    <x v="12"/>
    <m/>
    <m/>
    <x v="2"/>
    <s v="Liepāja"/>
    <x v="9"/>
  </r>
  <r>
    <x v="63"/>
    <s v="gabali"/>
    <m/>
    <x v="2"/>
    <s v="Liepāja"/>
    <x v="9"/>
  </r>
  <r>
    <x v="92"/>
    <s v="gabali"/>
    <m/>
    <x v="2"/>
    <s v="Liepāja"/>
    <x v="9"/>
  </r>
  <r>
    <x v="33"/>
    <m/>
    <m/>
    <x v="2"/>
    <s v="Liepāja"/>
    <x v="9"/>
  </r>
  <r>
    <x v="34"/>
    <s v="gabali"/>
    <n v="4"/>
    <x v="2"/>
    <s v="Liepāja"/>
    <x v="9"/>
  </r>
  <r>
    <x v="19"/>
    <s v="EUR/vien bez PVN"/>
    <m/>
    <x v="2"/>
    <s v="Liepāja"/>
    <x v="9"/>
  </r>
  <r>
    <x v="63"/>
    <s v="EUR/vien bez PVN"/>
    <m/>
    <x v="2"/>
    <s v="Liepāja"/>
    <x v="9"/>
  </r>
  <r>
    <x v="92"/>
    <s v="EUR/vien bez PVN"/>
    <m/>
    <x v="2"/>
    <s v="Liepāja"/>
    <x v="9"/>
  </r>
  <r>
    <x v="33"/>
    <s v="EUR/vien bez PVN"/>
    <m/>
    <x v="2"/>
    <s v="Liepāja"/>
    <x v="9"/>
  </r>
  <r>
    <x v="34"/>
    <s v="EUR/vien bez PVN"/>
    <n v="3.5049999999999999"/>
    <x v="2"/>
    <s v="Liepāja"/>
    <x v="9"/>
  </r>
  <r>
    <x v="25"/>
    <m/>
    <n v="17090.911403842125"/>
    <x v="0"/>
    <s v="Liepāja"/>
    <x v="9"/>
  </r>
  <r>
    <x v="93"/>
    <s v="EUR bez PVN"/>
    <n v="136262.23141856518"/>
    <x v="0"/>
    <s v="Liepāja"/>
    <x v="9"/>
  </r>
  <r>
    <x v="94"/>
    <s v="km"/>
    <n v="192693.34"/>
    <x v="0"/>
    <s v="Liepāja"/>
    <x v="9"/>
  </r>
  <r>
    <x v="95"/>
    <s v="EUR bez PVN"/>
    <n v="174978.31"/>
    <x v="0"/>
    <s v="Liepāja"/>
    <x v="9"/>
  </r>
  <r>
    <x v="96"/>
    <s v="km"/>
    <n v="219866.084"/>
    <x v="0"/>
    <s v="Liepāja"/>
    <x v="9"/>
  </r>
  <r>
    <x v="25"/>
    <m/>
    <n v="25888.358627840542"/>
    <x v="1"/>
    <s v="Liepāja"/>
    <x v="9"/>
  </r>
  <r>
    <x v="93"/>
    <s v="EUR bez PVN"/>
    <n v="35435.492109082719"/>
    <x v="1"/>
    <s v="Liepāja"/>
    <x v="9"/>
  </r>
  <r>
    <x v="94"/>
    <s v="km"/>
    <n v="84976.39"/>
    <x v="1"/>
    <s v="Liepāja"/>
    <x v="9"/>
  </r>
  <r>
    <x v="95"/>
    <s v="EUR bez PVN"/>
    <n v="62017.01"/>
    <x v="1"/>
    <s v="Liepāja"/>
    <x v="9"/>
  </r>
  <r>
    <x v="96"/>
    <s v="km"/>
    <n v="85936.9"/>
    <x v="1"/>
    <s v="Liepāja"/>
    <x v="9"/>
  </r>
  <r>
    <x v="25"/>
    <m/>
    <n v="4997.5509385476116"/>
    <x v="2"/>
    <s v="Liepāja"/>
    <x v="9"/>
  </r>
  <r>
    <x v="93"/>
    <s v="EUR bez PVN"/>
    <n v="46839.416472352059"/>
    <x v="2"/>
    <s v="Liepāja"/>
    <x v="9"/>
  </r>
  <r>
    <x v="94"/>
    <s v="km"/>
    <n v="57790.92"/>
    <x v="2"/>
    <s v="Liepāja"/>
    <x v="9"/>
  </r>
  <r>
    <x v="95"/>
    <s v="EUR bez PVN"/>
    <n v="52895.11"/>
    <x v="2"/>
    <s v="Liepāja"/>
    <x v="9"/>
  </r>
  <r>
    <x v="96"/>
    <s v="km"/>
    <n v="58970.6"/>
    <x v="2"/>
    <s v="Liepāja"/>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CCBE3EC-C8D8-4754-81F3-ABA2A3CAE90F}" name="PivotTable1" cacheId="4"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Z9" firstHeaderRow="1" firstDataRow="3" firstDataCol="1"/>
  <pivotFields count="6">
    <pivotField axis="axisRow" showAll="0">
      <items count="98">
        <item h="1" x="35"/>
        <item h="1" x="45"/>
        <item h="1" x="26"/>
        <item h="1" x="37"/>
        <item h="1" x="47"/>
        <item h="1" x="28"/>
        <item h="1" x="38"/>
        <item h="1" x="48"/>
        <item h="1" x="29"/>
        <item h="1" x="10"/>
        <item h="1" x="19"/>
        <item h="1" x="36"/>
        <item h="1" x="46"/>
        <item h="1" x="27"/>
        <item h="1" x="7"/>
        <item h="1" x="6"/>
        <item h="1" x="3"/>
        <item h="1" x="2"/>
        <item h="1" x="12"/>
        <item x="0"/>
        <item x="11"/>
        <item x="25"/>
        <item h="1" x="40"/>
        <item h="1" x="43"/>
        <item h="1" x="32"/>
        <item h="1" x="44"/>
        <item h="1" x="39"/>
        <item h="1" x="41"/>
        <item h="1" x="1"/>
        <item h="1" x="34"/>
        <item h="1" x="16"/>
        <item h="1" x="22"/>
        <item h="1" x="17"/>
        <item h="1" x="23"/>
        <item h="1" x="18"/>
        <item h="1" x="24"/>
        <item h="1" x="13"/>
        <item h="1" x="20"/>
        <item h="1" x="31"/>
        <item h="1" x="15"/>
        <item h="1" x="42"/>
        <item h="1" x="33"/>
        <item h="1" x="5"/>
        <item h="1" x="9"/>
        <item h="1" x="4"/>
        <item h="1" x="8"/>
        <item h="1" x="30"/>
        <item h="1" x="14"/>
        <item h="1" x="21"/>
        <item h="1" x="49"/>
        <item h="1" x="50"/>
        <item h="1" x="51"/>
        <item h="1" x="52"/>
        <item h="1" x="53"/>
        <item h="1" x="54"/>
        <item h="1" x="55"/>
        <item h="1" x="56"/>
        <item h="1" x="57"/>
        <item h="1" x="58"/>
        <item h="1" x="59"/>
        <item h="1" x="60"/>
        <item h="1" x="61"/>
        <item h="1" x="62"/>
        <item h="1" x="63"/>
        <item h="1" x="64"/>
        <item h="1" x="65"/>
        <item h="1" x="66"/>
        <item h="1" x="67"/>
        <item h="1" x="68"/>
        <item h="1" x="69"/>
        <item h="1" x="70"/>
        <item h="1" x="71"/>
        <item h="1" x="72"/>
        <item h="1" x="73"/>
        <item h="1" x="74"/>
        <item h="1" x="75"/>
        <item h="1" x="76"/>
        <item h="1" x="77"/>
        <item h="1" x="78"/>
        <item h="1" x="79"/>
        <item h="1" x="80"/>
        <item h="1" x="81"/>
        <item h="1" x="82"/>
        <item h="1" x="83"/>
        <item h="1" x="84"/>
        <item h="1" x="85"/>
        <item h="1" x="86"/>
        <item h="1" x="87"/>
        <item h="1" x="88"/>
        <item h="1" x="89"/>
        <item h="1" x="90"/>
        <item h="1" x="91"/>
        <item h="1" x="92"/>
        <item h="1" x="93"/>
        <item h="1" x="94"/>
        <item h="1" x="95"/>
        <item h="1" x="96"/>
        <item t="default"/>
      </items>
    </pivotField>
    <pivotField showAll="0"/>
    <pivotField dataField="1" showAll="0"/>
    <pivotField axis="axisCol" showAll="0">
      <items count="4">
        <item x="0"/>
        <item x="1"/>
        <item x="2"/>
        <item t="default"/>
      </items>
    </pivotField>
    <pivotField showAll="0"/>
    <pivotField axis="axisCol" showAll="0">
      <items count="11">
        <item h="1" x="0"/>
        <item h="1" x="1"/>
        <item h="1" x="2"/>
        <item h="1" x="3"/>
        <item x="4"/>
        <item x="5"/>
        <item x="6"/>
        <item x="7"/>
        <item x="8"/>
        <item x="9"/>
        <item t="default"/>
      </items>
    </pivotField>
  </pivotFields>
  <rowFields count="1">
    <field x="0"/>
  </rowFields>
  <rowItems count="4">
    <i>
      <x v="19"/>
    </i>
    <i>
      <x v="20"/>
    </i>
    <i>
      <x v="21"/>
    </i>
    <i t="grand">
      <x/>
    </i>
  </rowItems>
  <colFields count="2">
    <field x="5"/>
    <field x="3"/>
  </colFields>
  <colItems count="25">
    <i>
      <x v="4"/>
      <x/>
    </i>
    <i r="1">
      <x v="1"/>
    </i>
    <i r="1">
      <x v="2"/>
    </i>
    <i t="default">
      <x v="4"/>
    </i>
    <i>
      <x v="5"/>
      <x/>
    </i>
    <i r="1">
      <x v="1"/>
    </i>
    <i r="1">
      <x v="2"/>
    </i>
    <i t="default">
      <x v="5"/>
    </i>
    <i>
      <x v="6"/>
      <x/>
    </i>
    <i r="1">
      <x v="1"/>
    </i>
    <i r="1">
      <x v="2"/>
    </i>
    <i t="default">
      <x v="6"/>
    </i>
    <i>
      <x v="7"/>
      <x/>
    </i>
    <i r="1">
      <x v="1"/>
    </i>
    <i r="1">
      <x v="2"/>
    </i>
    <i t="default">
      <x v="7"/>
    </i>
    <i>
      <x v="8"/>
      <x/>
    </i>
    <i r="1">
      <x v="1"/>
    </i>
    <i r="1">
      <x v="2"/>
    </i>
    <i t="default">
      <x v="8"/>
    </i>
    <i>
      <x v="9"/>
      <x/>
    </i>
    <i r="1">
      <x v="1"/>
    </i>
    <i r="1">
      <x v="2"/>
    </i>
    <i t="default">
      <x v="9"/>
    </i>
    <i t="grand">
      <x/>
    </i>
  </colItems>
  <dataFields count="1">
    <dataField name="Sum of Vērtība" fld="2" baseField="0" baseItem="0" numFmtId="4"/>
  </dataFields>
  <formats count="13">
    <format dxfId="12">
      <pivotArea dataOnly="0" labelOnly="1" fieldPosition="0">
        <references count="1">
          <reference field="0" count="0"/>
        </references>
      </pivotArea>
    </format>
    <format dxfId="11">
      <pivotArea outline="0" collapsedLevelsAreSubtotals="1" fieldPosition="0"/>
    </format>
    <format dxfId="10">
      <pivotArea dataOnly="0" outline="0" fieldPosition="0">
        <references count="1">
          <reference field="5" count="1">
            <x v="0"/>
          </reference>
        </references>
      </pivotArea>
    </format>
    <format dxfId="9">
      <pivotArea dataOnly="0" labelOnly="1" fieldPosition="0">
        <references count="1">
          <reference field="5" count="1" defaultSubtotal="1">
            <x v="0"/>
          </reference>
        </references>
      </pivotArea>
    </format>
    <format dxfId="8">
      <pivotArea collapsedLevelsAreSubtotals="1" fieldPosition="0">
        <references count="1">
          <reference field="0" count="0"/>
        </references>
      </pivotArea>
    </format>
    <format dxfId="7">
      <pivotArea dataOnly="0" labelOnly="1" fieldPosition="0">
        <references count="1">
          <reference field="0" count="0"/>
        </references>
      </pivotArea>
    </format>
    <format dxfId="6">
      <pivotArea collapsedLevelsAreSubtotals="1" fieldPosition="0">
        <references count="2">
          <reference field="0" count="0"/>
          <reference field="5" count="1" selected="0" defaultSubtotal="1">
            <x v="0"/>
          </reference>
        </references>
      </pivotArea>
    </format>
    <format dxfId="5">
      <pivotArea collapsedLevelsAreSubtotals="1" fieldPosition="0">
        <references count="2">
          <reference field="0" count="0"/>
          <reference field="5" count="1" selected="0" defaultSubtotal="1">
            <x v="1"/>
          </reference>
        </references>
      </pivotArea>
    </format>
    <format dxfId="4">
      <pivotArea collapsedLevelsAreSubtotals="1" fieldPosition="0">
        <references count="2">
          <reference field="0" count="0"/>
          <reference field="5" count="1" selected="0" defaultSubtotal="1">
            <x v="2"/>
          </reference>
        </references>
      </pivotArea>
    </format>
    <format dxfId="3">
      <pivotArea collapsedLevelsAreSubtotals="1" fieldPosition="0">
        <references count="2">
          <reference field="0" count="0"/>
          <reference field="5" count="1" selected="0" defaultSubtotal="1">
            <x v="3"/>
          </reference>
        </references>
      </pivotArea>
    </format>
    <format dxfId="2">
      <pivotArea grandRow="1" outline="0" collapsedLevelsAreSubtotals="1" fieldPosition="0"/>
    </format>
    <format dxfId="1">
      <pivotArea dataOnly="0" labelOnly="1" grandRow="1" outline="0" fieldPosition="0"/>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ivotTable" Target="../pivotTables/pivotTable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tabColor theme="7" tint="0.79998168889431442"/>
    <pageSetUpPr fitToPage="1"/>
  </sheetPr>
  <dimension ref="A1:M57"/>
  <sheetViews>
    <sheetView zoomScale="85" zoomScaleNormal="85" workbookViewId="0">
      <selection activeCell="L31" sqref="L31"/>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8" width="10" style="1" hidden="1" customWidth="1"/>
    <col min="9" max="9" width="0" style="1" hidden="1" customWidth="1"/>
    <col min="10" max="10" width="9.7265625" style="1" hidden="1" customWidth="1"/>
    <col min="11" max="13" width="0" style="1" hidden="1" customWidth="1"/>
    <col min="14" max="16384" width="9.1796875" style="1"/>
  </cols>
  <sheetData>
    <row r="1" spans="1:10" ht="42" customHeight="1" x14ac:dyDescent="0.35">
      <c r="A1" s="454" t="s">
        <v>66</v>
      </c>
      <c r="B1" s="454"/>
      <c r="C1" s="454"/>
      <c r="D1" s="454"/>
      <c r="E1" s="454"/>
      <c r="F1" s="454"/>
      <c r="G1" s="454"/>
    </row>
    <row r="2" spans="1:10" s="2" customFormat="1" ht="28.5" thickBot="1" x14ac:dyDescent="0.35">
      <c r="A2" s="3" t="s">
        <v>3</v>
      </c>
      <c r="B2" s="13"/>
      <c r="C2" s="14" t="s">
        <v>4</v>
      </c>
      <c r="D2" s="14" t="s">
        <v>0</v>
      </c>
      <c r="E2" s="15" t="s">
        <v>10</v>
      </c>
      <c r="F2" s="14" t="s">
        <v>1</v>
      </c>
      <c r="G2" s="14" t="s">
        <v>2</v>
      </c>
      <c r="H2" s="92"/>
    </row>
    <row r="3" spans="1:10" s="2" customFormat="1" ht="14.5" thickBot="1" x14ac:dyDescent="0.35">
      <c r="A3" s="12" t="s">
        <v>14</v>
      </c>
      <c r="B3" s="24" t="s">
        <v>51</v>
      </c>
      <c r="C3" s="25"/>
      <c r="D3" s="26">
        <f>(D10-D9)*D13</f>
        <v>-553.35571200001482</v>
      </c>
      <c r="E3" s="26">
        <f>(E10-E9)*E13</f>
        <v>-685.55852399999742</v>
      </c>
      <c r="F3" s="26">
        <f t="shared" ref="F3:G3" si="0">(F10-F9)*F13</f>
        <v>0</v>
      </c>
      <c r="G3" s="27">
        <f t="shared" si="0"/>
        <v>0</v>
      </c>
      <c r="H3" s="93">
        <f>SUM(D3:G3)</f>
        <v>-1238.9142360000124</v>
      </c>
    </row>
    <row r="4" spans="1:10" x14ac:dyDescent="0.3">
      <c r="A4" s="460" t="s">
        <v>6</v>
      </c>
      <c r="B4" s="23" t="s">
        <v>11</v>
      </c>
      <c r="C4" s="458" t="s">
        <v>5</v>
      </c>
      <c r="D4" s="69">
        <v>43</v>
      </c>
      <c r="E4" s="70">
        <v>13</v>
      </c>
      <c r="F4" s="69">
        <v>20</v>
      </c>
      <c r="G4" s="71"/>
      <c r="H4" s="94"/>
    </row>
    <row r="5" spans="1:10" ht="15" customHeight="1" x14ac:dyDescent="0.3">
      <c r="A5" s="461"/>
      <c r="B5" s="16" t="s">
        <v>48</v>
      </c>
      <c r="C5" s="458"/>
      <c r="D5" s="72">
        <v>10201</v>
      </c>
      <c r="E5" s="72">
        <v>6814</v>
      </c>
      <c r="F5" s="72">
        <v>6084</v>
      </c>
      <c r="G5" s="73"/>
      <c r="H5" s="94"/>
    </row>
    <row r="6" spans="1:10" x14ac:dyDescent="0.3">
      <c r="A6" s="461"/>
      <c r="B6" s="16" t="s">
        <v>49</v>
      </c>
      <c r="C6" s="458"/>
      <c r="D6" s="72">
        <f>D5+D7-D8</f>
        <v>10165</v>
      </c>
      <c r="E6" s="72">
        <f t="shared" ref="E6:G6" si="1">E5+E7-E8</f>
        <v>6706</v>
      </c>
      <c r="F6" s="72">
        <f t="shared" si="1"/>
        <v>6084</v>
      </c>
      <c r="G6" s="73">
        <f t="shared" si="1"/>
        <v>0</v>
      </c>
      <c r="H6" s="94"/>
    </row>
    <row r="7" spans="1:10" x14ac:dyDescent="0.3">
      <c r="A7" s="461"/>
      <c r="B7" s="17" t="s">
        <v>44</v>
      </c>
      <c r="C7" s="458"/>
      <c r="D7" s="72">
        <v>0</v>
      </c>
      <c r="E7" s="72">
        <v>0</v>
      </c>
      <c r="F7" s="72">
        <v>0</v>
      </c>
      <c r="G7" s="73"/>
      <c r="H7" s="94"/>
    </row>
    <row r="8" spans="1:10" x14ac:dyDescent="0.3">
      <c r="A8" s="461"/>
      <c r="B8" s="17" t="s">
        <v>45</v>
      </c>
      <c r="C8" s="459"/>
      <c r="D8" s="72">
        <v>36</v>
      </c>
      <c r="E8" s="72">
        <v>108</v>
      </c>
      <c r="F8" s="72">
        <v>0</v>
      </c>
      <c r="G8" s="73"/>
      <c r="H8" s="94"/>
    </row>
    <row r="9" spans="1:10" x14ac:dyDescent="0.3">
      <c r="A9" s="461"/>
      <c r="B9" s="16" t="s">
        <v>42</v>
      </c>
      <c r="C9" s="455" t="s">
        <v>7</v>
      </c>
      <c r="D9" s="72">
        <v>146665.04</v>
      </c>
      <c r="E9" s="72">
        <v>65745.289999999994</v>
      </c>
      <c r="F9" s="72">
        <v>45021.599999999999</v>
      </c>
      <c r="G9" s="73"/>
      <c r="H9" s="94"/>
    </row>
    <row r="10" spans="1:10" x14ac:dyDescent="0.3">
      <c r="A10" s="461"/>
      <c r="B10" s="16" t="s">
        <v>50</v>
      </c>
      <c r="C10" s="456"/>
      <c r="D10" s="72">
        <f>D9+D11-D12</f>
        <v>146317.28</v>
      </c>
      <c r="E10" s="72">
        <f>E9+E11-E12</f>
        <v>64902.77</v>
      </c>
      <c r="F10" s="72">
        <f t="shared" ref="F10:G10" si="2">F9+F11-F12</f>
        <v>45021.599999999999</v>
      </c>
      <c r="G10" s="73">
        <f t="shared" si="2"/>
        <v>0</v>
      </c>
      <c r="H10" s="94"/>
      <c r="I10" s="98">
        <f ca="1">atskaites_jedox!BA9</f>
        <v>284587</v>
      </c>
      <c r="J10" s="98">
        <f ca="1">atskaites_jedox!BB9</f>
        <v>60680</v>
      </c>
    </row>
    <row r="11" spans="1:10" ht="16.5" customHeight="1" x14ac:dyDescent="0.3">
      <c r="A11" s="461"/>
      <c r="B11" s="18" t="s">
        <v>46</v>
      </c>
      <c r="C11" s="456"/>
      <c r="D11" s="72">
        <v>0</v>
      </c>
      <c r="E11" s="72">
        <v>0</v>
      </c>
      <c r="F11" s="72">
        <v>0</v>
      </c>
      <c r="G11" s="73"/>
      <c r="H11" s="94"/>
    </row>
    <row r="12" spans="1:10" ht="16.5" customHeight="1" x14ac:dyDescent="0.3">
      <c r="A12" s="462"/>
      <c r="B12" s="18" t="s">
        <v>47</v>
      </c>
      <c r="C12" s="457"/>
      <c r="D12" s="72">
        <v>347.76</v>
      </c>
      <c r="E12" s="72">
        <v>842.52</v>
      </c>
      <c r="F12" s="72">
        <v>0</v>
      </c>
      <c r="G12" s="73"/>
      <c r="H12" s="94"/>
    </row>
    <row r="13" spans="1:10" ht="28.5" thickBot="1" x14ac:dyDescent="0.35">
      <c r="A13" s="29" t="s">
        <v>13</v>
      </c>
      <c r="B13" s="19" t="s">
        <v>43</v>
      </c>
      <c r="C13" s="20" t="s">
        <v>8</v>
      </c>
      <c r="D13" s="99">
        <v>1.5911999999999999</v>
      </c>
      <c r="E13" s="99">
        <v>0.81369999999999998</v>
      </c>
      <c r="F13" s="99">
        <v>2.8062999999999998</v>
      </c>
      <c r="G13" s="75"/>
      <c r="H13" s="94"/>
      <c r="I13" s="39">
        <f ca="1">atskaites_jedox!BC9</f>
        <v>1.3599999999999999</v>
      </c>
      <c r="J13" s="39">
        <f ca="1">atskaites_jedox!BD9</f>
        <v>2.81</v>
      </c>
    </row>
    <row r="14" spans="1:10" s="2" customFormat="1" ht="28.5" thickBot="1" x14ac:dyDescent="0.35">
      <c r="A14" s="7" t="s">
        <v>15</v>
      </c>
      <c r="B14" s="8" t="s">
        <v>41</v>
      </c>
      <c r="C14" s="9"/>
      <c r="D14" s="10">
        <f>SUM(D18*D25)</f>
        <v>4.74</v>
      </c>
      <c r="E14" s="10">
        <f>SUM(E18*E25)</f>
        <v>2.1</v>
      </c>
      <c r="F14" s="10">
        <f>SUM(F16*F23,F17*F24,F19*F26,F27*F20,F21*F28)</f>
        <v>123.78</v>
      </c>
      <c r="G14" s="11" t="e">
        <f>SUM(#REF!*#REF!,G18*G25,#REF!*#REF!,#REF!*#REF!,#REF!*#REF!,#REF!*#REF!)</f>
        <v>#REF!</v>
      </c>
      <c r="H14" s="93" t="e">
        <f>SUM(D14:G14)</f>
        <v>#REF!</v>
      </c>
    </row>
    <row r="15" spans="1:10" s="4" customFormat="1" ht="48.75" customHeight="1" x14ac:dyDescent="0.3">
      <c r="A15" s="467" t="s">
        <v>6</v>
      </c>
      <c r="B15" s="45" t="s">
        <v>39</v>
      </c>
      <c r="C15" s="56"/>
      <c r="D15" s="46"/>
      <c r="E15" s="46"/>
      <c r="F15" s="46"/>
      <c r="G15" s="47"/>
      <c r="H15" s="95"/>
    </row>
    <row r="16" spans="1:10" s="44" customFormat="1" x14ac:dyDescent="0.3">
      <c r="A16" s="468"/>
      <c r="B16" s="48" t="s">
        <v>61</v>
      </c>
      <c r="C16" s="57" t="s">
        <v>25</v>
      </c>
      <c r="D16" s="49"/>
      <c r="E16" s="46"/>
      <c r="F16" s="49">
        <v>5</v>
      </c>
      <c r="G16" s="47"/>
      <c r="H16" s="95"/>
    </row>
    <row r="17" spans="1:13" s="44" customFormat="1" x14ac:dyDescent="0.3">
      <c r="A17" s="468"/>
      <c r="B17" s="48" t="s">
        <v>63</v>
      </c>
      <c r="C17" s="57" t="s">
        <v>25</v>
      </c>
      <c r="D17" s="49"/>
      <c r="E17" s="46"/>
      <c r="F17" s="49">
        <v>15</v>
      </c>
      <c r="G17" s="47"/>
      <c r="H17" s="95"/>
    </row>
    <row r="18" spans="1:13" s="4" customFormat="1" x14ac:dyDescent="0.3">
      <c r="A18" s="468"/>
      <c r="B18" s="48" t="s">
        <v>12</v>
      </c>
      <c r="C18" s="57" t="s">
        <v>59</v>
      </c>
      <c r="D18" s="49">
        <v>79</v>
      </c>
      <c r="E18" s="49">
        <v>35</v>
      </c>
      <c r="F18" s="49"/>
      <c r="G18" s="51"/>
      <c r="H18" s="95"/>
    </row>
    <row r="19" spans="1:13" s="4" customFormat="1" x14ac:dyDescent="0.3">
      <c r="A19" s="468"/>
      <c r="B19" s="48" t="s">
        <v>62</v>
      </c>
      <c r="C19" s="57" t="s">
        <v>60</v>
      </c>
      <c r="D19" s="49"/>
      <c r="E19" s="50"/>
      <c r="F19" s="49">
        <v>260</v>
      </c>
      <c r="G19" s="51"/>
      <c r="H19" s="95"/>
    </row>
    <row r="20" spans="1:13" s="4" customFormat="1" x14ac:dyDescent="0.3">
      <c r="A20" s="468"/>
      <c r="B20" s="48" t="s">
        <v>64</v>
      </c>
      <c r="C20" s="57" t="s">
        <v>59</v>
      </c>
      <c r="D20" s="49"/>
      <c r="E20" s="50"/>
      <c r="F20" s="49">
        <v>5</v>
      </c>
      <c r="G20" s="51"/>
      <c r="H20" s="95"/>
    </row>
    <row r="21" spans="1:13" s="4" customFormat="1" ht="14.5" thickBot="1" x14ac:dyDescent="0.35">
      <c r="A21" s="468"/>
      <c r="B21" s="52" t="s">
        <v>65</v>
      </c>
      <c r="C21" s="58" t="s">
        <v>59</v>
      </c>
      <c r="D21" s="49"/>
      <c r="E21" s="50"/>
      <c r="F21" s="49">
        <v>1</v>
      </c>
      <c r="G21" s="51"/>
      <c r="H21" s="95"/>
    </row>
    <row r="22" spans="1:13" s="4" customFormat="1" ht="28" x14ac:dyDescent="0.3">
      <c r="A22" s="468"/>
      <c r="B22" s="53" t="s">
        <v>40</v>
      </c>
      <c r="C22" s="466" t="s">
        <v>26</v>
      </c>
      <c r="D22" s="54"/>
      <c r="E22" s="54"/>
      <c r="F22" s="54"/>
      <c r="G22" s="55"/>
      <c r="H22" s="95"/>
    </row>
    <row r="23" spans="1:13" s="44" customFormat="1" x14ac:dyDescent="0.3">
      <c r="A23" s="468"/>
      <c r="B23" s="48" t="s">
        <v>57</v>
      </c>
      <c r="C23" s="466"/>
      <c r="D23" s="46"/>
      <c r="E23" s="46"/>
      <c r="F23" s="46">
        <v>2.62</v>
      </c>
      <c r="G23" s="47"/>
      <c r="H23" s="95"/>
    </row>
    <row r="24" spans="1:13" s="44" customFormat="1" x14ac:dyDescent="0.3">
      <c r="A24" s="468"/>
      <c r="B24" s="48" t="s">
        <v>58</v>
      </c>
      <c r="C24" s="466"/>
      <c r="D24" s="46"/>
      <c r="E24" s="46"/>
      <c r="F24" s="46">
        <v>2.86</v>
      </c>
      <c r="G24" s="47"/>
      <c r="H24" s="95"/>
    </row>
    <row r="25" spans="1:13" s="4" customFormat="1" x14ac:dyDescent="0.3">
      <c r="A25" s="468"/>
      <c r="B25" s="48" t="s">
        <v>12</v>
      </c>
      <c r="C25" s="466"/>
      <c r="D25" s="50">
        <v>0.06</v>
      </c>
      <c r="E25" s="50">
        <v>0.06</v>
      </c>
      <c r="F25" s="50"/>
      <c r="G25" s="51"/>
      <c r="H25" s="95"/>
    </row>
    <row r="26" spans="1:13" s="4" customFormat="1" x14ac:dyDescent="0.3">
      <c r="A26" s="468"/>
      <c r="B26" s="48" t="s">
        <v>54</v>
      </c>
      <c r="C26" s="466"/>
      <c r="D26" s="50"/>
      <c r="E26" s="50"/>
      <c r="F26" s="50">
        <v>0.23</v>
      </c>
      <c r="G26" s="51"/>
      <c r="H26" s="95"/>
    </row>
    <row r="27" spans="1:13" s="44" customFormat="1" x14ac:dyDescent="0.3">
      <c r="A27" s="468"/>
      <c r="B27" s="48" t="s">
        <v>55</v>
      </c>
      <c r="C27" s="466"/>
      <c r="D27" s="50"/>
      <c r="E27" s="50"/>
      <c r="F27" s="50">
        <v>1.32</v>
      </c>
      <c r="G27" s="51"/>
      <c r="H27" s="95"/>
    </row>
    <row r="28" spans="1:13" s="44" customFormat="1" ht="14.5" thickBot="1" x14ac:dyDescent="0.35">
      <c r="A28" s="468"/>
      <c r="B28" s="52" t="s">
        <v>56</v>
      </c>
      <c r="C28" s="466"/>
      <c r="D28" s="50"/>
      <c r="E28" s="50"/>
      <c r="F28" s="50">
        <v>1.38</v>
      </c>
      <c r="G28" s="51"/>
      <c r="H28" s="95"/>
    </row>
    <row r="29" spans="1:13" s="2" customFormat="1" x14ac:dyDescent="0.3">
      <c r="A29" s="21" t="s">
        <v>27</v>
      </c>
      <c r="B29" s="30" t="s">
        <v>53</v>
      </c>
      <c r="C29" s="31"/>
      <c r="D29" s="32">
        <f>((D32/D33)-(D30/D31))*D31</f>
        <v>39844.114257586123</v>
      </c>
      <c r="E29" s="32">
        <f t="shared" ref="E29:G29" si="3">((E32/E33)-(E30/E31))*E31</f>
        <v>15998.645778817619</v>
      </c>
      <c r="F29" s="32">
        <f t="shared" si="3"/>
        <v>13650.344734461389</v>
      </c>
      <c r="G29" s="33" t="e">
        <f t="shared" si="3"/>
        <v>#DIV/0!</v>
      </c>
      <c r="H29" s="96">
        <f>SUM(D29:F29)</f>
        <v>69493.104770865131</v>
      </c>
    </row>
    <row r="30" spans="1:13" ht="56" x14ac:dyDescent="0.3">
      <c r="A30" s="451" t="s">
        <v>28</v>
      </c>
      <c r="B30" s="34" t="s">
        <v>36</v>
      </c>
      <c r="C30" s="43" t="s">
        <v>30</v>
      </c>
      <c r="D30" s="40">
        <v>74913.11</v>
      </c>
      <c r="E30" s="42">
        <v>30374.29</v>
      </c>
      <c r="F30" s="40">
        <v>24986.48</v>
      </c>
      <c r="G30" s="35"/>
      <c r="H30" s="97">
        <f>SUM(D30:G30)</f>
        <v>130273.87999999999</v>
      </c>
      <c r="I30" s="98">
        <f ca="1">atskaites_jedox!AY9</f>
        <v>153004.31</v>
      </c>
      <c r="J30" s="98">
        <f ca="1">atskaites_jedox!AZ9</f>
        <v>32612.95</v>
      </c>
    </row>
    <row r="31" spans="1:13" x14ac:dyDescent="0.3">
      <c r="A31" s="452"/>
      <c r="B31" s="34" t="s">
        <v>52</v>
      </c>
      <c r="C31" s="43" t="s">
        <v>7</v>
      </c>
      <c r="D31" s="40">
        <f>D10</f>
        <v>146317.28</v>
      </c>
      <c r="E31" s="40">
        <f t="shared" ref="E31:F31" si="4">E10</f>
        <v>64902.77</v>
      </c>
      <c r="F31" s="40">
        <f t="shared" si="4"/>
        <v>45021.599999999999</v>
      </c>
      <c r="G31" s="35"/>
      <c r="H31" s="94"/>
      <c r="I31" s="98">
        <f ca="1">atskaites_jedox!BA9</f>
        <v>284587</v>
      </c>
      <c r="J31" s="98">
        <f ca="1">atskaites_jedox!BB9</f>
        <v>60680</v>
      </c>
      <c r="K31" s="1" t="b">
        <f>D31=D10</f>
        <v>1</v>
      </c>
      <c r="L31" s="1" t="b">
        <f t="shared" ref="L31:M31" si="5">E31=E10</f>
        <v>1</v>
      </c>
      <c r="M31" s="1" t="b">
        <f t="shared" si="5"/>
        <v>1</v>
      </c>
    </row>
    <row r="32" spans="1:13" ht="56" x14ac:dyDescent="0.3">
      <c r="A32" s="451" t="s">
        <v>29</v>
      </c>
      <c r="B32" s="34" t="s">
        <v>37</v>
      </c>
      <c r="C32" s="43" t="s">
        <v>30</v>
      </c>
      <c r="D32" s="40">
        <v>139567.43</v>
      </c>
      <c r="E32" s="40">
        <v>46243.24</v>
      </c>
      <c r="F32" s="40">
        <v>37906.51</v>
      </c>
      <c r="G32" s="35"/>
      <c r="H32" s="97">
        <f>SUM(D32:G32)</f>
        <v>223717.18</v>
      </c>
      <c r="I32" s="98">
        <f ca="1">atskaites_jedox!C9</f>
        <v>255532.3</v>
      </c>
      <c r="J32" s="39">
        <f ca="1">atskaites_jedox!D9</f>
        <v>46515.34</v>
      </c>
    </row>
    <row r="33" spans="1:10" ht="14.5" thickBot="1" x14ac:dyDescent="0.35">
      <c r="A33" s="452"/>
      <c r="B33" s="36" t="s">
        <v>38</v>
      </c>
      <c r="C33" s="28" t="s">
        <v>7</v>
      </c>
      <c r="D33" s="41">
        <v>177950.6856</v>
      </c>
      <c r="E33" s="41">
        <v>64721.25</v>
      </c>
      <c r="F33" s="41">
        <v>44170.6</v>
      </c>
      <c r="G33" s="22"/>
      <c r="H33" s="94"/>
      <c r="I33" s="98">
        <f ca="1">atskaites_jedox!E9</f>
        <v>328818.45</v>
      </c>
      <c r="J33" s="98">
        <f ca="1">atskaites_jedox!F9</f>
        <v>59858.6</v>
      </c>
    </row>
    <row r="36" spans="1:10" ht="14.5" thickBot="1" x14ac:dyDescent="0.35">
      <c r="B36" s="38" t="s">
        <v>67</v>
      </c>
      <c r="C36" s="37"/>
      <c r="D36" s="37"/>
      <c r="E36" s="37"/>
      <c r="F36" s="37"/>
      <c r="G36" s="37"/>
    </row>
    <row r="37" spans="1:10" ht="14.5" thickTop="1" x14ac:dyDescent="0.3"/>
    <row r="39" spans="1:10" x14ac:dyDescent="0.3">
      <c r="A39" s="1" t="s">
        <v>9</v>
      </c>
    </row>
    <row r="40" spans="1:10" ht="33" customHeight="1" x14ac:dyDescent="0.3">
      <c r="A40" s="453" t="s">
        <v>24</v>
      </c>
      <c r="B40" s="453"/>
      <c r="C40" s="453"/>
      <c r="D40" s="453"/>
      <c r="E40" s="453"/>
      <c r="F40" s="453"/>
      <c r="G40" s="453"/>
    </row>
    <row r="41" spans="1:10" x14ac:dyDescent="0.3">
      <c r="A41" s="4" t="s">
        <v>23</v>
      </c>
      <c r="B41" s="4"/>
      <c r="C41" s="4"/>
      <c r="D41" s="4"/>
      <c r="E41" s="4"/>
      <c r="F41" s="4"/>
      <c r="G41" s="4"/>
    </row>
    <row r="42" spans="1:10" ht="28.5" customHeight="1" x14ac:dyDescent="0.3">
      <c r="A42" s="465" t="s">
        <v>16</v>
      </c>
      <c r="B42" s="465"/>
      <c r="C42" s="465"/>
      <c r="D42" s="465"/>
      <c r="E42" s="465"/>
      <c r="F42" s="465"/>
      <c r="G42" s="465"/>
    </row>
    <row r="43" spans="1:10" ht="33" customHeight="1" x14ac:dyDescent="0.3">
      <c r="A43" s="453" t="s">
        <v>18</v>
      </c>
      <c r="B43" s="453"/>
      <c r="C43" s="453"/>
      <c r="D43" s="453"/>
      <c r="E43" s="453"/>
      <c r="F43" s="453"/>
      <c r="G43" s="453"/>
    </row>
    <row r="44" spans="1:10" ht="33" customHeight="1" x14ac:dyDescent="0.3">
      <c r="A44" s="453" t="s">
        <v>31</v>
      </c>
      <c r="B44" s="453"/>
      <c r="C44" s="453"/>
      <c r="D44" s="453"/>
      <c r="E44" s="453"/>
      <c r="F44" s="453"/>
      <c r="G44" s="453"/>
    </row>
    <row r="45" spans="1:10" x14ac:dyDescent="0.3">
      <c r="A45" s="4"/>
      <c r="B45" s="4"/>
      <c r="C45" s="4"/>
      <c r="D45" s="4"/>
      <c r="E45" s="4"/>
      <c r="F45" s="4"/>
      <c r="G45" s="4"/>
    </row>
    <row r="46" spans="1:10" x14ac:dyDescent="0.3">
      <c r="A46" s="6" t="s">
        <v>17</v>
      </c>
      <c r="B46" s="4"/>
      <c r="C46" s="4"/>
      <c r="D46" s="4"/>
      <c r="E46" s="4"/>
      <c r="F46" s="4"/>
      <c r="G46" s="4"/>
    </row>
    <row r="47" spans="1:10" ht="30" customHeight="1" x14ac:dyDescent="0.3">
      <c r="A47" s="453" t="s">
        <v>32</v>
      </c>
      <c r="B47" s="453"/>
      <c r="C47" s="453"/>
      <c r="D47" s="453"/>
      <c r="E47" s="453"/>
      <c r="F47" s="453"/>
      <c r="G47" s="453"/>
    </row>
    <row r="48" spans="1:10" ht="33" customHeight="1" x14ac:dyDescent="0.3">
      <c r="A48" s="464" t="s">
        <v>19</v>
      </c>
      <c r="B48" s="464"/>
      <c r="C48" s="464"/>
      <c r="D48" s="464"/>
      <c r="E48" s="464"/>
      <c r="F48" s="464"/>
      <c r="G48" s="464"/>
    </row>
    <row r="49" spans="1:7" ht="34.5" customHeight="1" x14ac:dyDescent="0.3">
      <c r="A49" s="464" t="s">
        <v>21</v>
      </c>
      <c r="B49" s="464"/>
      <c r="C49" s="464"/>
      <c r="D49" s="464"/>
      <c r="E49" s="464"/>
      <c r="F49" s="464"/>
      <c r="G49" s="464"/>
    </row>
    <row r="50" spans="1:7" ht="63" customHeight="1" x14ac:dyDescent="0.3">
      <c r="A50" s="464" t="s">
        <v>33</v>
      </c>
      <c r="B50" s="464"/>
      <c r="C50" s="464"/>
      <c r="D50" s="464"/>
      <c r="E50" s="464"/>
      <c r="F50" s="464"/>
      <c r="G50" s="464"/>
    </row>
    <row r="51" spans="1:7" ht="30.75" customHeight="1" x14ac:dyDescent="0.3">
      <c r="A51" s="464" t="s">
        <v>20</v>
      </c>
      <c r="B51" s="464"/>
      <c r="C51" s="464"/>
      <c r="D51" s="464"/>
      <c r="E51" s="464"/>
      <c r="F51" s="464"/>
      <c r="G51" s="464"/>
    </row>
    <row r="52" spans="1:7" ht="43.5" customHeight="1" x14ac:dyDescent="0.3">
      <c r="A52" s="463" t="s">
        <v>22</v>
      </c>
      <c r="B52" s="463"/>
      <c r="C52" s="463"/>
      <c r="D52" s="463"/>
      <c r="E52" s="463"/>
      <c r="F52" s="463"/>
      <c r="G52" s="463"/>
    </row>
    <row r="53" spans="1:7" ht="30" customHeight="1" x14ac:dyDescent="0.3">
      <c r="A53" s="453" t="s">
        <v>34</v>
      </c>
      <c r="B53" s="453"/>
      <c r="C53" s="453"/>
      <c r="D53" s="453"/>
      <c r="E53" s="453"/>
      <c r="F53" s="453"/>
      <c r="G53" s="453"/>
    </row>
    <row r="54" spans="1:7" ht="45" customHeight="1" x14ac:dyDescent="0.3">
      <c r="A54" s="453" t="s">
        <v>35</v>
      </c>
      <c r="B54" s="453"/>
      <c r="C54" s="453"/>
      <c r="D54" s="453"/>
      <c r="E54" s="453"/>
      <c r="F54" s="453"/>
      <c r="G54" s="453"/>
    </row>
    <row r="55" spans="1:7" ht="16.5" customHeight="1" x14ac:dyDescent="0.3">
      <c r="A55" s="5"/>
      <c r="B55" s="5"/>
      <c r="C55" s="5"/>
      <c r="D55" s="5"/>
      <c r="E55" s="5"/>
      <c r="F55" s="5"/>
      <c r="G55" s="5"/>
    </row>
    <row r="56" spans="1:7" x14ac:dyDescent="0.3">
      <c r="A56" s="4"/>
      <c r="B56" s="4"/>
      <c r="C56" s="4"/>
      <c r="D56" s="4"/>
      <c r="E56" s="4"/>
      <c r="F56" s="4"/>
      <c r="G56" s="4"/>
    </row>
    <row r="57" spans="1:7" x14ac:dyDescent="0.3">
      <c r="A57" s="4"/>
      <c r="B57" s="4"/>
      <c r="C57" s="4"/>
      <c r="D57" s="4"/>
      <c r="E57" s="4"/>
      <c r="F57" s="4"/>
      <c r="G57" s="4"/>
    </row>
  </sheetData>
  <mergeCells count="20">
    <mergeCell ref="A47:G47"/>
    <mergeCell ref="C22:C28"/>
    <mergeCell ref="A15:A28"/>
    <mergeCell ref="A40:G40"/>
    <mergeCell ref="A30:A31"/>
    <mergeCell ref="A32:A33"/>
    <mergeCell ref="A54:G54"/>
    <mergeCell ref="A53:G53"/>
    <mergeCell ref="A1:G1"/>
    <mergeCell ref="C9:C12"/>
    <mergeCell ref="C4:C8"/>
    <mergeCell ref="A4:A12"/>
    <mergeCell ref="A52:G52"/>
    <mergeCell ref="A51:G51"/>
    <mergeCell ref="A48:G48"/>
    <mergeCell ref="A42:G42"/>
    <mergeCell ref="A43:G43"/>
    <mergeCell ref="A49:G49"/>
    <mergeCell ref="A50:G50"/>
    <mergeCell ref="A44:G44"/>
  </mergeCells>
  <pageMargins left="0.7" right="0.7" top="0.75" bottom="0.75" header="0.3" footer="0.3"/>
  <pageSetup paperSize="9"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5635E-ED87-41B7-823E-21C374D5B8A3}">
  <sheetPr>
    <tabColor theme="4" tint="0.59999389629810485"/>
    <pageSetUpPr fitToPage="1"/>
  </sheetPr>
  <dimension ref="A1:K50"/>
  <sheetViews>
    <sheetView workbookViewId="0">
      <selection activeCell="J5" sqref="J5"/>
    </sheetView>
  </sheetViews>
  <sheetFormatPr defaultColWidth="9.1796875" defaultRowHeight="14.5" x14ac:dyDescent="0.35"/>
  <cols>
    <col min="1" max="1" width="22.1796875" style="331" bestFit="1" customWidth="1"/>
    <col min="2" max="2" width="49.81640625" style="331" customWidth="1"/>
    <col min="3" max="3" width="10.26953125" style="331" customWidth="1"/>
    <col min="4" max="4" width="12" style="331" bestFit="1" customWidth="1"/>
    <col min="5" max="5" width="13.7265625" style="331" customWidth="1"/>
    <col min="6" max="6" width="10.81640625" style="331" bestFit="1" customWidth="1"/>
    <col min="7" max="7" width="10.26953125" style="331" customWidth="1"/>
    <col min="8" max="8" width="10.54296875" style="331" hidden="1" customWidth="1"/>
    <col min="9" max="9" width="9.1796875" style="331"/>
    <col min="10" max="10" width="10" style="331" bestFit="1" customWidth="1"/>
    <col min="11" max="16384" width="9.1796875" style="331"/>
  </cols>
  <sheetData>
    <row r="1" spans="1:11" ht="41.25" customHeight="1" thickBot="1" x14ac:dyDescent="0.4">
      <c r="A1" s="531" t="s">
        <v>68</v>
      </c>
      <c r="B1" s="531"/>
      <c r="C1" s="531"/>
      <c r="D1" s="531"/>
      <c r="E1" s="531"/>
      <c r="F1" s="531"/>
      <c r="G1" s="531"/>
    </row>
    <row r="2" spans="1:11" ht="28.5" thickBot="1" x14ac:dyDescent="0.4">
      <c r="A2" s="421" t="s">
        <v>3</v>
      </c>
      <c r="B2" s="422"/>
      <c r="C2" s="423" t="s">
        <v>4</v>
      </c>
      <c r="D2" s="423" t="s">
        <v>0</v>
      </c>
      <c r="E2" s="424" t="s">
        <v>10</v>
      </c>
      <c r="F2" s="423" t="s">
        <v>1</v>
      </c>
      <c r="G2" s="425" t="s">
        <v>2</v>
      </c>
    </row>
    <row r="3" spans="1:11" ht="15" thickBot="1" x14ac:dyDescent="0.4">
      <c r="A3" s="426" t="s">
        <v>14</v>
      </c>
      <c r="B3" s="337" t="s">
        <v>51</v>
      </c>
      <c r="C3" s="338"/>
      <c r="D3" s="339">
        <f>(D10-D9)*D13</f>
        <v>0</v>
      </c>
      <c r="E3" s="339">
        <f>(E10-E9)*E13</f>
        <v>0</v>
      </c>
      <c r="F3" s="339">
        <f>(F10-F9)*F13</f>
        <v>0</v>
      </c>
      <c r="G3" s="340">
        <f>(G10-G9)*G13</f>
        <v>0</v>
      </c>
    </row>
    <row r="4" spans="1:11" x14ac:dyDescent="0.35">
      <c r="A4" s="532" t="s">
        <v>160</v>
      </c>
      <c r="B4" s="396" t="s">
        <v>11</v>
      </c>
      <c r="C4" s="520" t="s">
        <v>5</v>
      </c>
      <c r="D4" s="397">
        <v>43</v>
      </c>
      <c r="E4" s="398">
        <v>13</v>
      </c>
      <c r="F4" s="397">
        <v>20</v>
      </c>
      <c r="G4" s="344"/>
    </row>
    <row r="5" spans="1:11" x14ac:dyDescent="0.35">
      <c r="A5" s="533"/>
      <c r="B5" s="345" t="s">
        <v>48</v>
      </c>
      <c r="C5" s="520"/>
      <c r="D5" s="346">
        <v>13386</v>
      </c>
      <c r="E5" s="346">
        <v>9097</v>
      </c>
      <c r="F5" s="346">
        <v>8116</v>
      </c>
      <c r="G5" s="347"/>
    </row>
    <row r="6" spans="1:11" x14ac:dyDescent="0.35">
      <c r="A6" s="533"/>
      <c r="B6" s="345" t="s">
        <v>49</v>
      </c>
      <c r="C6" s="520"/>
      <c r="D6" s="346">
        <f>D5+D7-D8</f>
        <v>13386</v>
      </c>
      <c r="E6" s="346">
        <f t="shared" ref="E6:G6" si="0">E5+E7-E8</f>
        <v>9097</v>
      </c>
      <c r="F6" s="346">
        <f t="shared" si="0"/>
        <v>8116</v>
      </c>
      <c r="G6" s="347">
        <f t="shared" si="0"/>
        <v>0</v>
      </c>
    </row>
    <row r="7" spans="1:11" x14ac:dyDescent="0.35">
      <c r="A7" s="533"/>
      <c r="B7" s="348" t="s">
        <v>44</v>
      </c>
      <c r="C7" s="520"/>
      <c r="D7" s="346">
        <v>0</v>
      </c>
      <c r="E7" s="346">
        <v>0</v>
      </c>
      <c r="F7" s="346">
        <v>0</v>
      </c>
      <c r="G7" s="347"/>
    </row>
    <row r="8" spans="1:11" x14ac:dyDescent="0.35">
      <c r="A8" s="533"/>
      <c r="B8" s="348" t="s">
        <v>45</v>
      </c>
      <c r="C8" s="521"/>
      <c r="D8" s="346">
        <v>0</v>
      </c>
      <c r="E8" s="346">
        <v>0</v>
      </c>
      <c r="F8" s="346">
        <v>0</v>
      </c>
      <c r="G8" s="347"/>
    </row>
    <row r="9" spans="1:11" x14ac:dyDescent="0.35">
      <c r="A9" s="533"/>
      <c r="B9" s="345" t="s">
        <v>42</v>
      </c>
      <c r="C9" s="522" t="s">
        <v>7</v>
      </c>
      <c r="D9" s="346">
        <v>192693.34</v>
      </c>
      <c r="E9" s="346">
        <v>84976.39</v>
      </c>
      <c r="F9" s="346">
        <v>57790.92</v>
      </c>
      <c r="G9" s="347"/>
    </row>
    <row r="10" spans="1:11" x14ac:dyDescent="0.35">
      <c r="A10" s="533"/>
      <c r="B10" s="345" t="s">
        <v>50</v>
      </c>
      <c r="C10" s="523"/>
      <c r="D10" s="346">
        <f t="shared" ref="D10:G10" si="1">D9+D11-D12</f>
        <v>192693.34</v>
      </c>
      <c r="E10" s="346">
        <f t="shared" si="1"/>
        <v>84976.39</v>
      </c>
      <c r="F10" s="346">
        <f t="shared" si="1"/>
        <v>57790.92</v>
      </c>
      <c r="G10" s="347">
        <f t="shared" si="1"/>
        <v>0</v>
      </c>
      <c r="I10" s="351"/>
      <c r="K10" s="431"/>
    </row>
    <row r="11" spans="1:11" x14ac:dyDescent="0.35">
      <c r="A11" s="533"/>
      <c r="B11" s="352" t="s">
        <v>46</v>
      </c>
      <c r="C11" s="523"/>
      <c r="D11" s="346">
        <v>0</v>
      </c>
      <c r="E11" s="346"/>
      <c r="F11" s="346"/>
      <c r="G11" s="347"/>
    </row>
    <row r="12" spans="1:11" x14ac:dyDescent="0.35">
      <c r="A12" s="534"/>
      <c r="B12" s="352" t="s">
        <v>47</v>
      </c>
      <c r="C12" s="524"/>
      <c r="D12" s="346"/>
      <c r="E12" s="346"/>
      <c r="F12" s="346"/>
      <c r="G12" s="347"/>
    </row>
    <row r="13" spans="1:11" ht="15" thickBot="1" x14ac:dyDescent="0.4">
      <c r="A13" s="427" t="s">
        <v>160</v>
      </c>
      <c r="B13" s="354" t="s">
        <v>43</v>
      </c>
      <c r="C13" s="355" t="s">
        <v>8</v>
      </c>
      <c r="D13" s="356">
        <v>2.8471000000000002</v>
      </c>
      <c r="E13" s="356">
        <v>1.804</v>
      </c>
      <c r="F13" s="356">
        <v>5.8507999999999996</v>
      </c>
      <c r="G13" s="357"/>
    </row>
    <row r="14" spans="1:11" ht="29" thickBot="1" x14ac:dyDescent="0.4">
      <c r="A14" s="428" t="s">
        <v>15</v>
      </c>
      <c r="B14" s="359" t="s">
        <v>41</v>
      </c>
      <c r="C14" s="360"/>
      <c r="D14" s="361">
        <f t="shared" ref="D14:E14" si="2">SUM(D16*D21,D17*D22,D19*D24)</f>
        <v>76.087951999999987</v>
      </c>
      <c r="E14" s="361">
        <f t="shared" si="2"/>
        <v>21.326570999999998</v>
      </c>
      <c r="F14" s="361">
        <f>SUM(F16*F21,F17*F22,F19*F24)</f>
        <v>14.02</v>
      </c>
      <c r="G14" s="362">
        <f>SUM(G19*G24,G16*G21)</f>
        <v>0</v>
      </c>
    </row>
    <row r="15" spans="1:11" ht="30" customHeight="1" x14ac:dyDescent="0.35">
      <c r="A15" s="535" t="s">
        <v>160</v>
      </c>
      <c r="B15" s="363" t="s">
        <v>39</v>
      </c>
      <c r="C15" s="364"/>
      <c r="D15" s="414"/>
      <c r="E15" s="414"/>
      <c r="F15" s="414"/>
      <c r="G15" s="415"/>
    </row>
    <row r="16" spans="1:11" x14ac:dyDescent="0.35">
      <c r="A16" s="536"/>
      <c r="B16" s="368" t="s">
        <v>149</v>
      </c>
      <c r="C16" s="369" t="s">
        <v>59</v>
      </c>
      <c r="D16" s="406">
        <v>0.76700000000000002</v>
      </c>
      <c r="E16" s="406">
        <v>0.20300000000000001</v>
      </c>
      <c r="F16" s="408"/>
      <c r="G16" s="407"/>
    </row>
    <row r="17" spans="1:11" x14ac:dyDescent="0.35">
      <c r="A17" s="536"/>
      <c r="B17" s="368" t="s">
        <v>161</v>
      </c>
      <c r="C17" s="369" t="s">
        <v>59</v>
      </c>
      <c r="D17" s="408">
        <v>249</v>
      </c>
      <c r="E17" s="408">
        <v>70</v>
      </c>
      <c r="F17" s="408"/>
      <c r="G17" s="407"/>
    </row>
    <row r="18" spans="1:11" x14ac:dyDescent="0.35">
      <c r="A18" s="536"/>
      <c r="B18" s="432" t="s">
        <v>75</v>
      </c>
      <c r="C18" s="369"/>
      <c r="D18" s="406"/>
      <c r="E18" s="406"/>
      <c r="F18" s="408"/>
      <c r="G18" s="407"/>
    </row>
    <row r="19" spans="1:11" ht="15" thickBot="1" x14ac:dyDescent="0.4">
      <c r="A19" s="536"/>
      <c r="B19" s="433" t="s">
        <v>76</v>
      </c>
      <c r="C19" s="434" t="s">
        <v>59</v>
      </c>
      <c r="D19" s="435"/>
      <c r="E19" s="435"/>
      <c r="F19" s="436">
        <v>4</v>
      </c>
      <c r="G19" s="437"/>
    </row>
    <row r="20" spans="1:11" ht="28.5" x14ac:dyDescent="0.35">
      <c r="A20" s="536"/>
      <c r="B20" s="404" t="s">
        <v>40</v>
      </c>
      <c r="C20" s="527" t="s">
        <v>26</v>
      </c>
      <c r="D20" s="406"/>
      <c r="E20" s="406"/>
      <c r="F20" s="406"/>
      <c r="G20" s="407"/>
    </row>
    <row r="21" spans="1:11" x14ac:dyDescent="0.35">
      <c r="A21" s="536"/>
      <c r="B21" s="368" t="s">
        <v>149</v>
      </c>
      <c r="C21" s="527"/>
      <c r="D21" s="406">
        <v>5.056</v>
      </c>
      <c r="E21" s="406">
        <v>5.0570000000000004</v>
      </c>
      <c r="F21" s="406"/>
      <c r="G21" s="407"/>
    </row>
    <row r="22" spans="1:11" x14ac:dyDescent="0.35">
      <c r="A22" s="536"/>
      <c r="B22" s="368" t="s">
        <v>161</v>
      </c>
      <c r="C22" s="527"/>
      <c r="D22" s="406">
        <v>0.28999999999999998</v>
      </c>
      <c r="E22" s="406">
        <v>0.28999999999999998</v>
      </c>
      <c r="F22" s="406"/>
      <c r="G22" s="407"/>
    </row>
    <row r="23" spans="1:11" x14ac:dyDescent="0.35">
      <c r="A23" s="536"/>
      <c r="B23" s="432" t="s">
        <v>75</v>
      </c>
      <c r="C23" s="527"/>
      <c r="D23" s="406"/>
      <c r="E23" s="406"/>
      <c r="F23" s="406"/>
      <c r="G23" s="407"/>
    </row>
    <row r="24" spans="1:11" ht="15" thickBot="1" x14ac:dyDescent="0.4">
      <c r="A24" s="536"/>
      <c r="B24" s="368" t="s">
        <v>76</v>
      </c>
      <c r="C24" s="527"/>
      <c r="D24" s="406"/>
      <c r="E24" s="406"/>
      <c r="F24" s="406">
        <v>3.5049999999999999</v>
      </c>
      <c r="G24" s="407"/>
    </row>
    <row r="25" spans="1:11" x14ac:dyDescent="0.35">
      <c r="A25" s="429" t="s">
        <v>27</v>
      </c>
      <c r="B25" s="377" t="s">
        <v>53</v>
      </c>
      <c r="C25" s="378"/>
      <c r="D25" s="379">
        <f>((D28/D29)-(D26/D27))*D27</f>
        <v>17090.911403842125</v>
      </c>
      <c r="E25" s="379">
        <f>((E28/E29)-(E26/E27))*E27</f>
        <v>25888.358627840542</v>
      </c>
      <c r="F25" s="379">
        <f>((F28/F29)-(F26/F27))*F27</f>
        <v>4997.5509385476116</v>
      </c>
      <c r="G25" s="380" t="e">
        <f>((G28/G29)-(G26/G27))*G27</f>
        <v>#DIV/0!</v>
      </c>
      <c r="H25" s="381">
        <f>SUM(D25:F25)</f>
        <v>47976.820970230277</v>
      </c>
    </row>
    <row r="26" spans="1:11" ht="56.5" x14ac:dyDescent="0.35">
      <c r="A26" s="528" t="s">
        <v>160</v>
      </c>
      <c r="B26" s="382" t="s">
        <v>36</v>
      </c>
      <c r="C26" s="383" t="s">
        <v>30</v>
      </c>
      <c r="D26" s="416">
        <v>136262.23141856518</v>
      </c>
      <c r="E26" s="417">
        <v>35435.492109082719</v>
      </c>
      <c r="F26" s="416">
        <v>46839.416472352059</v>
      </c>
      <c r="G26" s="418"/>
      <c r="H26" s="381">
        <f>SUM(D26:G26)</f>
        <v>218537.13999999996</v>
      </c>
      <c r="I26" s="351"/>
      <c r="J26" s="381"/>
      <c r="K26" s="431"/>
    </row>
    <row r="27" spans="1:11" x14ac:dyDescent="0.35">
      <c r="A27" s="529"/>
      <c r="B27" s="382" t="s">
        <v>52</v>
      </c>
      <c r="C27" s="383" t="s">
        <v>7</v>
      </c>
      <c r="D27" s="416">
        <f>D10</f>
        <v>192693.34</v>
      </c>
      <c r="E27" s="416">
        <f t="shared" ref="E27:F27" si="3">E10</f>
        <v>84976.39</v>
      </c>
      <c r="F27" s="416">
        <f t="shared" si="3"/>
        <v>57790.92</v>
      </c>
      <c r="G27" s="430">
        <f>G10</f>
        <v>0</v>
      </c>
      <c r="H27" s="381">
        <f>SUM(D27:G27)</f>
        <v>335460.64999999997</v>
      </c>
      <c r="I27" s="351"/>
      <c r="J27" s="381"/>
      <c r="K27" s="431"/>
    </row>
    <row r="28" spans="1:11" ht="56.5" x14ac:dyDescent="0.35">
      <c r="A28" s="528" t="s">
        <v>162</v>
      </c>
      <c r="B28" s="382" t="s">
        <v>37</v>
      </c>
      <c r="C28" s="383" t="s">
        <v>30</v>
      </c>
      <c r="D28" s="416">
        <v>174978.31</v>
      </c>
      <c r="E28" s="416">
        <v>62017.01</v>
      </c>
      <c r="F28" s="416">
        <v>52895.11</v>
      </c>
      <c r="G28" s="418"/>
      <c r="H28" s="381">
        <f t="shared" ref="H28:H29" si="4">SUM(D28:G28)</f>
        <v>289890.43</v>
      </c>
      <c r="I28" s="351"/>
      <c r="J28" s="381"/>
      <c r="K28" s="431"/>
    </row>
    <row r="29" spans="1:11" ht="15" thickBot="1" x14ac:dyDescent="0.4">
      <c r="A29" s="530"/>
      <c r="B29" s="387" t="s">
        <v>38</v>
      </c>
      <c r="C29" s="388" t="s">
        <v>7</v>
      </c>
      <c r="D29" s="419">
        <v>219866.084</v>
      </c>
      <c r="E29" s="419">
        <v>85936.9</v>
      </c>
      <c r="F29" s="419">
        <v>58970.6</v>
      </c>
      <c r="G29" s="420"/>
      <c r="H29" s="381">
        <f t="shared" si="4"/>
        <v>364773.58399999997</v>
      </c>
      <c r="I29" s="431"/>
      <c r="J29" s="438"/>
      <c r="K29" s="431"/>
    </row>
    <row r="30" spans="1:11" x14ac:dyDescent="0.35">
      <c r="A30" s="391"/>
      <c r="B30" s="391"/>
      <c r="C30" s="391"/>
      <c r="D30" s="391"/>
      <c r="E30" s="391"/>
      <c r="F30" s="391"/>
      <c r="G30" s="391"/>
    </row>
    <row r="31" spans="1:11" x14ac:dyDescent="0.35">
      <c r="A31" s="391"/>
      <c r="B31" s="391"/>
      <c r="C31" s="391"/>
      <c r="D31" s="391"/>
      <c r="E31" s="391"/>
      <c r="F31" s="391"/>
      <c r="G31" s="391"/>
    </row>
    <row r="32" spans="1:11" ht="15" thickBot="1" x14ac:dyDescent="0.4">
      <c r="A32" s="391"/>
      <c r="B32" s="392" t="s">
        <v>67</v>
      </c>
      <c r="C32" s="393"/>
      <c r="D32" s="393"/>
      <c r="E32" s="393"/>
      <c r="F32" s="393"/>
      <c r="G32" s="393"/>
    </row>
    <row r="33" spans="1:7" ht="15" thickTop="1" x14ac:dyDescent="0.35">
      <c r="A33" s="391"/>
      <c r="B33" s="391"/>
      <c r="C33" s="391"/>
      <c r="D33" s="391"/>
      <c r="E33" s="391"/>
      <c r="F33" s="391"/>
      <c r="G33" s="391"/>
    </row>
    <row r="34" spans="1:7" x14ac:dyDescent="0.35">
      <c r="A34" s="391"/>
      <c r="B34" s="391"/>
      <c r="C34" s="391"/>
      <c r="D34" s="391"/>
      <c r="E34" s="391"/>
      <c r="F34" s="391"/>
      <c r="G34" s="391"/>
    </row>
    <row r="35" spans="1:7" x14ac:dyDescent="0.35">
      <c r="A35" s="391" t="s">
        <v>9</v>
      </c>
      <c r="B35" s="391"/>
      <c r="C35" s="391"/>
      <c r="D35" s="391"/>
      <c r="E35" s="391"/>
      <c r="F35" s="391"/>
      <c r="G35" s="391"/>
    </row>
    <row r="36" spans="1:7" x14ac:dyDescent="0.35">
      <c r="A36" s="510" t="s">
        <v>24</v>
      </c>
      <c r="B36" s="510"/>
      <c r="C36" s="510"/>
      <c r="D36" s="510"/>
      <c r="E36" s="510"/>
      <c r="F36" s="510"/>
      <c r="G36" s="510"/>
    </row>
    <row r="37" spans="1:7" x14ac:dyDescent="0.35">
      <c r="A37" s="394" t="s">
        <v>23</v>
      </c>
      <c r="B37" s="394"/>
      <c r="C37" s="394"/>
      <c r="D37" s="394"/>
      <c r="E37" s="394"/>
      <c r="F37" s="394"/>
      <c r="G37" s="394"/>
    </row>
    <row r="38" spans="1:7" x14ac:dyDescent="0.35">
      <c r="A38" s="514" t="s">
        <v>16</v>
      </c>
      <c r="B38" s="514"/>
      <c r="C38" s="514"/>
      <c r="D38" s="514"/>
      <c r="E38" s="514"/>
      <c r="F38" s="514"/>
      <c r="G38" s="514"/>
    </row>
    <row r="39" spans="1:7" x14ac:dyDescent="0.35">
      <c r="A39" s="510" t="s">
        <v>155</v>
      </c>
      <c r="B39" s="510"/>
      <c r="C39" s="510"/>
      <c r="D39" s="510"/>
      <c r="E39" s="510"/>
      <c r="F39" s="510"/>
      <c r="G39" s="510"/>
    </row>
    <row r="40" spans="1:7" x14ac:dyDescent="0.35">
      <c r="A40" s="510" t="s">
        <v>31</v>
      </c>
      <c r="B40" s="510"/>
      <c r="C40" s="510"/>
      <c r="D40" s="510"/>
      <c r="E40" s="510"/>
      <c r="F40" s="510"/>
      <c r="G40" s="510"/>
    </row>
    <row r="41" spans="1:7" x14ac:dyDescent="0.35">
      <c r="A41" s="394"/>
      <c r="B41" s="394"/>
      <c r="C41" s="394"/>
      <c r="D41" s="394"/>
      <c r="E41" s="394"/>
      <c r="F41" s="394"/>
      <c r="G41" s="394"/>
    </row>
    <row r="42" spans="1:7" x14ac:dyDescent="0.35">
      <c r="A42" s="395" t="s">
        <v>17</v>
      </c>
      <c r="B42" s="394"/>
      <c r="C42" s="394"/>
      <c r="D42" s="394"/>
      <c r="E42" s="394"/>
      <c r="F42" s="394"/>
      <c r="G42" s="394"/>
    </row>
    <row r="43" spans="1:7" x14ac:dyDescent="0.35">
      <c r="A43" s="510" t="s">
        <v>32</v>
      </c>
      <c r="B43" s="510"/>
      <c r="C43" s="510"/>
      <c r="D43" s="510"/>
      <c r="E43" s="510"/>
      <c r="F43" s="510"/>
      <c r="G43" s="510"/>
    </row>
    <row r="44" spans="1:7" x14ac:dyDescent="0.35">
      <c r="A44" s="510" t="s">
        <v>19</v>
      </c>
      <c r="B44" s="510"/>
      <c r="C44" s="510"/>
      <c r="D44" s="510"/>
      <c r="E44" s="510"/>
      <c r="F44" s="510"/>
      <c r="G44" s="510"/>
    </row>
    <row r="45" spans="1:7" x14ac:dyDescent="0.35">
      <c r="A45" s="510" t="s">
        <v>21</v>
      </c>
      <c r="B45" s="510"/>
      <c r="C45" s="510"/>
      <c r="D45" s="510"/>
      <c r="E45" s="510"/>
      <c r="F45" s="510"/>
      <c r="G45" s="510"/>
    </row>
    <row r="46" spans="1:7" x14ac:dyDescent="0.35">
      <c r="A46" s="510" t="s">
        <v>33</v>
      </c>
      <c r="B46" s="510"/>
      <c r="C46" s="510"/>
      <c r="D46" s="510"/>
      <c r="E46" s="510"/>
      <c r="F46" s="510"/>
      <c r="G46" s="510"/>
    </row>
    <row r="47" spans="1:7" x14ac:dyDescent="0.35">
      <c r="A47" s="510" t="s">
        <v>20</v>
      </c>
      <c r="B47" s="510"/>
      <c r="C47" s="510"/>
      <c r="D47" s="510"/>
      <c r="E47" s="510"/>
      <c r="F47" s="510"/>
      <c r="G47" s="510"/>
    </row>
    <row r="48" spans="1:7" x14ac:dyDescent="0.35">
      <c r="A48" s="511" t="s">
        <v>22</v>
      </c>
      <c r="B48" s="511"/>
      <c r="C48" s="511"/>
      <c r="D48" s="511"/>
      <c r="E48" s="511"/>
      <c r="F48" s="511"/>
      <c r="G48" s="511"/>
    </row>
    <row r="49" spans="1:7" x14ac:dyDescent="0.35">
      <c r="A49" s="510" t="s">
        <v>34</v>
      </c>
      <c r="B49" s="510"/>
      <c r="C49" s="510"/>
      <c r="D49" s="510"/>
      <c r="E49" s="510"/>
      <c r="F49" s="510"/>
      <c r="G49" s="510"/>
    </row>
    <row r="50" spans="1:7" x14ac:dyDescent="0.35">
      <c r="A50" s="510" t="s">
        <v>35</v>
      </c>
      <c r="B50" s="510"/>
      <c r="C50" s="510"/>
      <c r="D50" s="510"/>
      <c r="E50" s="510"/>
      <c r="F50" s="510"/>
      <c r="G50" s="510"/>
    </row>
  </sheetData>
  <mergeCells count="20">
    <mergeCell ref="A40:G40"/>
    <mergeCell ref="A1:G1"/>
    <mergeCell ref="A4:A12"/>
    <mergeCell ref="C4:C8"/>
    <mergeCell ref="C9:C12"/>
    <mergeCell ref="A15:A24"/>
    <mergeCell ref="C20:C24"/>
    <mergeCell ref="A26:A27"/>
    <mergeCell ref="A28:A29"/>
    <mergeCell ref="A36:G36"/>
    <mergeCell ref="A38:G38"/>
    <mergeCell ref="A39:G39"/>
    <mergeCell ref="A49:G49"/>
    <mergeCell ref="A50:G50"/>
    <mergeCell ref="A43:G43"/>
    <mergeCell ref="A44:G44"/>
    <mergeCell ref="A45:G45"/>
    <mergeCell ref="A46:G46"/>
    <mergeCell ref="A47:G47"/>
    <mergeCell ref="A48:G48"/>
  </mergeCells>
  <pageMargins left="0.7" right="0.7" top="0.75" bottom="0.75" header="0.3" footer="0.3"/>
  <pageSetup paperSize="9" scale="6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3F958-579B-4F10-B0DF-5B7000ED3AF7}">
  <sheetPr>
    <pageSetUpPr fitToPage="1"/>
  </sheetPr>
  <dimension ref="A3:AP9"/>
  <sheetViews>
    <sheetView zoomScale="90" zoomScaleNormal="90" workbookViewId="0">
      <selection activeCell="D19" sqref="D19"/>
    </sheetView>
  </sheetViews>
  <sheetFormatPr defaultRowHeight="14.5" x14ac:dyDescent="0.35"/>
  <cols>
    <col min="1" max="1" width="56.7265625" customWidth="1"/>
    <col min="2" max="2" width="16.26953125" bestFit="1" customWidth="1"/>
    <col min="3" max="3" width="9.1796875" bestFit="1" customWidth="1"/>
    <col min="4" max="4" width="8.81640625" bestFit="1" customWidth="1"/>
    <col min="5" max="5" width="10.26953125" bestFit="1" customWidth="1"/>
    <col min="6" max="6" width="9.81640625" bestFit="1" customWidth="1"/>
    <col min="7" max="7" width="9.1796875" bestFit="1" customWidth="1"/>
    <col min="8" max="8" width="8.81640625" bestFit="1" customWidth="1"/>
    <col min="9" max="9" width="12.81640625" bestFit="1" customWidth="1"/>
    <col min="10" max="10" width="13" bestFit="1" customWidth="1"/>
    <col min="11" max="11" width="9.1796875" bestFit="1" customWidth="1"/>
    <col min="12" max="12" width="8.81640625" bestFit="1" customWidth="1"/>
    <col min="13" max="13" width="16.1796875" bestFit="1" customWidth="1"/>
    <col min="14" max="14" width="10.453125" bestFit="1" customWidth="1"/>
    <col min="15" max="15" width="9.81640625" bestFit="1" customWidth="1"/>
    <col min="16" max="16" width="9.26953125" bestFit="1" customWidth="1"/>
    <col min="17" max="17" width="13.54296875" bestFit="1" customWidth="1"/>
    <col min="18" max="18" width="12.54296875" bestFit="1" customWidth="1"/>
    <col min="19" max="19" width="9.81640625" bestFit="1" customWidth="1"/>
    <col min="20" max="20" width="9.26953125" bestFit="1" customWidth="1"/>
    <col min="21" max="21" width="15.7265625" bestFit="1" customWidth="1"/>
    <col min="22" max="22" width="12.26953125" bestFit="1" customWidth="1"/>
    <col min="23" max="23" width="9.81640625" bestFit="1" customWidth="1"/>
    <col min="24" max="24" width="8.81640625" bestFit="1" customWidth="1"/>
    <col min="25" max="25" width="15.453125" bestFit="1" customWidth="1"/>
    <col min="26" max="26" width="11.26953125" bestFit="1" customWidth="1"/>
    <col min="28" max="28" width="8.81640625" bestFit="1" customWidth="1"/>
    <col min="29" max="29" width="16.1796875" bestFit="1" customWidth="1"/>
    <col min="30" max="30" width="10.453125" bestFit="1" customWidth="1"/>
    <col min="31" max="31" width="9.81640625" bestFit="1" customWidth="1"/>
    <col min="32" max="32" width="9.26953125" bestFit="1" customWidth="1"/>
    <col min="33" max="33" width="13.54296875" bestFit="1" customWidth="1"/>
    <col min="34" max="34" width="12.54296875" bestFit="1" customWidth="1"/>
    <col min="35" max="35" width="9.81640625" bestFit="1" customWidth="1"/>
    <col min="36" max="36" width="9.26953125" bestFit="1" customWidth="1"/>
    <col min="37" max="37" width="15.7265625" bestFit="1" customWidth="1"/>
    <col min="38" max="38" width="12.26953125" bestFit="1" customWidth="1"/>
    <col min="39" max="39" width="9.81640625" bestFit="1" customWidth="1"/>
    <col min="40" max="40" width="8.81640625" bestFit="1" customWidth="1"/>
    <col min="41" max="41" width="15.453125" bestFit="1" customWidth="1"/>
    <col min="42" max="42" width="11.26953125" bestFit="1" customWidth="1"/>
  </cols>
  <sheetData>
    <row r="3" spans="1:42" x14ac:dyDescent="0.35">
      <c r="A3" s="121" t="s">
        <v>127</v>
      </c>
      <c r="B3" s="121" t="s">
        <v>126</v>
      </c>
    </row>
    <row r="4" spans="1:42" ht="27.65" customHeight="1" x14ac:dyDescent="0.35">
      <c r="B4" t="s">
        <v>163</v>
      </c>
      <c r="E4" t="s">
        <v>193</v>
      </c>
      <c r="F4" t="s">
        <v>168</v>
      </c>
      <c r="I4" t="s">
        <v>194</v>
      </c>
      <c r="J4" t="s">
        <v>173</v>
      </c>
      <c r="M4" t="s">
        <v>195</v>
      </c>
      <c r="N4" t="s">
        <v>178</v>
      </c>
      <c r="Q4" t="s">
        <v>196</v>
      </c>
      <c r="R4" t="s">
        <v>183</v>
      </c>
      <c r="U4" t="s">
        <v>197</v>
      </c>
      <c r="V4" t="s">
        <v>188</v>
      </c>
      <c r="Y4" t="s">
        <v>198</v>
      </c>
      <c r="Z4" t="s">
        <v>125</v>
      </c>
    </row>
    <row r="5" spans="1:42" x14ac:dyDescent="0.35">
      <c r="A5" s="121" t="s">
        <v>124</v>
      </c>
      <c r="B5" t="s">
        <v>99</v>
      </c>
      <c r="C5" t="s">
        <v>122</v>
      </c>
      <c r="D5" t="s">
        <v>123</v>
      </c>
      <c r="F5" t="s">
        <v>99</v>
      </c>
      <c r="G5" t="s">
        <v>122</v>
      </c>
      <c r="H5" t="s">
        <v>123</v>
      </c>
      <c r="J5" t="s">
        <v>99</v>
      </c>
      <c r="K5" t="s">
        <v>122</v>
      </c>
      <c r="L5" t="s">
        <v>123</v>
      </c>
      <c r="N5" t="s">
        <v>99</v>
      </c>
      <c r="O5" t="s">
        <v>122</v>
      </c>
      <c r="P5" t="s">
        <v>123</v>
      </c>
      <c r="R5" t="s">
        <v>99</v>
      </c>
      <c r="S5" t="s">
        <v>122</v>
      </c>
      <c r="T5" t="s">
        <v>123</v>
      </c>
      <c r="V5" t="s">
        <v>99</v>
      </c>
      <c r="W5" t="s">
        <v>122</v>
      </c>
      <c r="X5" t="s">
        <v>123</v>
      </c>
    </row>
    <row r="6" spans="1:42" ht="37.5" customHeight="1" x14ac:dyDescent="0.35">
      <c r="A6" s="230" t="s">
        <v>98</v>
      </c>
      <c r="B6" s="210">
        <v>0</v>
      </c>
      <c r="C6" s="210">
        <v>0</v>
      </c>
      <c r="D6" s="210">
        <v>0</v>
      </c>
      <c r="E6" s="210">
        <v>0</v>
      </c>
      <c r="F6" s="210">
        <v>0</v>
      </c>
      <c r="G6" s="210">
        <v>0</v>
      </c>
      <c r="H6" s="210">
        <v>0</v>
      </c>
      <c r="I6" s="210">
        <v>0</v>
      </c>
      <c r="J6" s="210">
        <v>0</v>
      </c>
      <c r="K6" s="210">
        <v>0</v>
      </c>
      <c r="L6" s="210">
        <v>0</v>
      </c>
      <c r="M6" s="210">
        <v>0</v>
      </c>
      <c r="N6" s="210">
        <v>-5826.6116697263024</v>
      </c>
      <c r="O6" s="210">
        <v>-1120.5747288309296</v>
      </c>
      <c r="P6" s="210">
        <v>-5405.919003581751</v>
      </c>
      <c r="Q6" s="210">
        <v>-12353.105402138983</v>
      </c>
      <c r="R6" s="210">
        <v>-6949.3708200000237</v>
      </c>
      <c r="S6" s="210">
        <v>-1294.2280539999945</v>
      </c>
      <c r="T6" s="210">
        <v>-6813.2444880000075</v>
      </c>
      <c r="U6" s="210">
        <v>-15056.843362000025</v>
      </c>
      <c r="V6" s="210">
        <v>0</v>
      </c>
      <c r="W6" s="210">
        <v>0</v>
      </c>
      <c r="X6" s="210">
        <v>0</v>
      </c>
      <c r="Y6" s="210">
        <v>0</v>
      </c>
      <c r="Z6" s="231">
        <v>-27409.948764139008</v>
      </c>
    </row>
    <row r="7" spans="1:42" ht="54.65" customHeight="1" x14ac:dyDescent="0.35">
      <c r="A7" s="230" t="s">
        <v>100</v>
      </c>
      <c r="B7" s="210">
        <v>10.538658</v>
      </c>
      <c r="C7" s="210">
        <v>4.7065900000000003</v>
      </c>
      <c r="D7" s="210">
        <v>30.2</v>
      </c>
      <c r="E7" s="210">
        <v>45.445247999999999</v>
      </c>
      <c r="F7" s="210">
        <v>12.124512000000001</v>
      </c>
      <c r="G7" s="210">
        <v>5.4080527999999992</v>
      </c>
      <c r="H7" s="210">
        <v>14.31</v>
      </c>
      <c r="I7" s="210">
        <v>31.842564799999998</v>
      </c>
      <c r="J7" s="210">
        <v>0</v>
      </c>
      <c r="K7" s="210">
        <v>0</v>
      </c>
      <c r="L7" s="210">
        <v>12.36</v>
      </c>
      <c r="M7" s="210">
        <v>12.36</v>
      </c>
      <c r="N7" s="210">
        <v>190.82645999999997</v>
      </c>
      <c r="O7" s="210">
        <v>81.286945000000003</v>
      </c>
      <c r="P7" s="210">
        <v>100.00980000000001</v>
      </c>
      <c r="Q7" s="210">
        <v>372.12320499999998</v>
      </c>
      <c r="R7" s="210">
        <v>1.0979999999999999</v>
      </c>
      <c r="S7" s="210">
        <v>0.39599999999999996</v>
      </c>
      <c r="T7" s="210">
        <v>14.31</v>
      </c>
      <c r="U7" s="210">
        <v>15.804</v>
      </c>
      <c r="V7" s="210">
        <v>76.087951999999987</v>
      </c>
      <c r="W7" s="210">
        <v>21.326570999999998</v>
      </c>
      <c r="X7" s="210">
        <v>14.02</v>
      </c>
      <c r="Y7" s="210">
        <v>111.43452299999998</v>
      </c>
      <c r="Z7" s="231">
        <v>589.00954079999997</v>
      </c>
    </row>
    <row r="8" spans="1:42" ht="37.5" customHeight="1" x14ac:dyDescent="0.35">
      <c r="A8" s="230" t="s">
        <v>101</v>
      </c>
      <c r="B8" s="210">
        <v>28372.29415577395</v>
      </c>
      <c r="C8" s="210">
        <v>8945.236256597098</v>
      </c>
      <c r="D8" s="210">
        <v>5667.664786672126</v>
      </c>
      <c r="E8" s="210">
        <v>42985.195199043177</v>
      </c>
      <c r="F8" s="210">
        <v>22330.947460497817</v>
      </c>
      <c r="G8" s="210">
        <v>7355.2370839336481</v>
      </c>
      <c r="H8" s="210">
        <v>4495.7409316475778</v>
      </c>
      <c r="I8" s="210">
        <v>34181.925476079043</v>
      </c>
      <c r="J8" s="210">
        <v>20214.693947085114</v>
      </c>
      <c r="K8" s="210">
        <v>7497.5308328569909</v>
      </c>
      <c r="L8" s="210">
        <v>3008.5846300603012</v>
      </c>
      <c r="M8" s="210">
        <v>30720.809410002406</v>
      </c>
      <c r="N8" s="210">
        <v>35566.216270804682</v>
      </c>
      <c r="O8" s="210">
        <v>15919.933647113457</v>
      </c>
      <c r="P8" s="210">
        <v>9727.7845444887462</v>
      </c>
      <c r="Q8" s="210">
        <v>61213.934462406891</v>
      </c>
      <c r="R8" s="210">
        <v>29565.454280688326</v>
      </c>
      <c r="S8" s="210">
        <v>20292.916941084117</v>
      </c>
      <c r="T8" s="210">
        <v>7602.4766677485641</v>
      </c>
      <c r="U8" s="210">
        <v>57460.847889520999</v>
      </c>
      <c r="V8" s="210">
        <v>17090.911403842125</v>
      </c>
      <c r="W8" s="210">
        <v>25888.358627840542</v>
      </c>
      <c r="X8" s="210">
        <v>4997.5509385476116</v>
      </c>
      <c r="Y8" s="210">
        <v>47976.820970230277</v>
      </c>
      <c r="Z8" s="231">
        <v>274539.53340728278</v>
      </c>
    </row>
    <row r="9" spans="1:42" s="234" customFormat="1" ht="27" customHeight="1" x14ac:dyDescent="0.35">
      <c r="A9" s="232" t="s">
        <v>125</v>
      </c>
      <c r="B9" s="233">
        <v>28382.832813773952</v>
      </c>
      <c r="C9" s="233">
        <v>8949.9428465970977</v>
      </c>
      <c r="D9" s="233">
        <v>5697.8647866721258</v>
      </c>
      <c r="E9" s="233">
        <v>43030.640447043181</v>
      </c>
      <c r="F9" s="233">
        <v>22343.071972497815</v>
      </c>
      <c r="G9" s="233">
        <v>7360.6451367336485</v>
      </c>
      <c r="H9" s="233">
        <v>4510.0509316475782</v>
      </c>
      <c r="I9" s="233">
        <v>34213.76804087904</v>
      </c>
      <c r="J9" s="233">
        <v>20214.693947085114</v>
      </c>
      <c r="K9" s="233">
        <v>7497.5308328569909</v>
      </c>
      <c r="L9" s="233">
        <v>3020.9446300603013</v>
      </c>
      <c r="M9" s="233">
        <v>30733.169410002407</v>
      </c>
      <c r="N9" s="233">
        <v>29930.43106107838</v>
      </c>
      <c r="O9" s="233">
        <v>14880.645863282527</v>
      </c>
      <c r="P9" s="233">
        <v>4421.875340906995</v>
      </c>
      <c r="Q9" s="233">
        <v>49232.952265267908</v>
      </c>
      <c r="R9" s="233">
        <v>22617.181460688302</v>
      </c>
      <c r="S9" s="233">
        <v>18999.084887084122</v>
      </c>
      <c r="T9" s="233">
        <v>803.54217974855692</v>
      </c>
      <c r="U9" s="233">
        <v>42419.808527520974</v>
      </c>
      <c r="V9" s="233">
        <v>17166.999355842127</v>
      </c>
      <c r="W9" s="233">
        <v>25909.685198840543</v>
      </c>
      <c r="X9" s="233">
        <v>5011.5709385476121</v>
      </c>
      <c r="Y9" s="233">
        <v>48088.255493230281</v>
      </c>
      <c r="Z9" s="233">
        <v>247718.59418394379</v>
      </c>
      <c r="AA9"/>
      <c r="AB9"/>
      <c r="AC9"/>
      <c r="AD9"/>
      <c r="AE9"/>
      <c r="AF9"/>
      <c r="AG9"/>
      <c r="AH9"/>
      <c r="AI9"/>
      <c r="AJ9"/>
      <c r="AK9"/>
      <c r="AL9"/>
      <c r="AM9"/>
      <c r="AN9"/>
      <c r="AO9"/>
      <c r="AP9"/>
    </row>
  </sheetData>
  <pageMargins left="0.7" right="0.7" top="0.75" bottom="0.75" header="0.3" footer="0.3"/>
  <pageSetup paperSize="9" scale="57" orientation="landscape" horizontalDpi="300" verticalDpi="3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43687-EBAA-46AD-9A69-FEF6BAB9CC92}">
  <dimension ref="B1:I923"/>
  <sheetViews>
    <sheetView zoomScale="80" zoomScaleNormal="80" workbookViewId="0">
      <pane ySplit="5" topLeftCell="A903" activePane="bottomLeft" state="frozen"/>
      <selection pane="bottomLeft" activeCell="K438" sqref="K438"/>
    </sheetView>
  </sheetViews>
  <sheetFormatPr defaultRowHeight="14.5" x14ac:dyDescent="0.35"/>
  <cols>
    <col min="1" max="1" width="5.453125" customWidth="1"/>
    <col min="2" max="2" width="49.26953125" customWidth="1"/>
    <col min="3" max="3" width="37.54296875" customWidth="1"/>
    <col min="4" max="4" width="13.453125" style="212" customWidth="1"/>
    <col min="5" max="5" width="18.453125" style="211" bestFit="1" customWidth="1"/>
    <col min="6" max="6" width="13.7265625" style="211" customWidth="1"/>
    <col min="7" max="7" width="23.453125" style="211" bestFit="1" customWidth="1"/>
    <col min="8" max="8" width="9.1796875" style="211"/>
  </cols>
  <sheetData>
    <row r="1" spans="2:7" x14ac:dyDescent="0.35">
      <c r="B1" s="538" t="s">
        <v>93</v>
      </c>
      <c r="C1" s="538"/>
      <c r="D1" s="538"/>
      <c r="E1" s="538"/>
      <c r="F1" s="538"/>
      <c r="G1" s="538"/>
    </row>
    <row r="2" spans="2:7" x14ac:dyDescent="0.35">
      <c r="B2" s="538"/>
      <c r="C2" s="538"/>
      <c r="D2" s="538"/>
      <c r="E2" s="538"/>
      <c r="F2" s="538"/>
      <c r="G2" s="538"/>
    </row>
    <row r="5" spans="2:7" ht="15.5" x14ac:dyDescent="0.35">
      <c r="B5" s="220" t="s">
        <v>94</v>
      </c>
      <c r="C5" s="220" t="s">
        <v>4</v>
      </c>
      <c r="D5" s="221" t="s">
        <v>95</v>
      </c>
      <c r="E5" s="222" t="s">
        <v>96</v>
      </c>
      <c r="F5" s="222" t="s">
        <v>97</v>
      </c>
      <c r="G5" s="222" t="s">
        <v>3</v>
      </c>
    </row>
    <row r="6" spans="2:7" ht="42" x14ac:dyDescent="0.35">
      <c r="B6" s="107" t="s">
        <v>98</v>
      </c>
      <c r="C6" s="108"/>
      <c r="D6" s="217">
        <v>-553.35571200001482</v>
      </c>
      <c r="E6" s="204" t="s">
        <v>99</v>
      </c>
      <c r="F6" s="204" t="s">
        <v>121</v>
      </c>
      <c r="G6" s="204" t="s">
        <v>6</v>
      </c>
    </row>
    <row r="7" spans="2:7" x14ac:dyDescent="0.35">
      <c r="B7" s="109" t="s">
        <v>11</v>
      </c>
      <c r="C7" s="104" t="s">
        <v>5</v>
      </c>
      <c r="D7" s="213">
        <v>43</v>
      </c>
      <c r="E7" s="204" t="s">
        <v>99</v>
      </c>
      <c r="F7" s="204" t="s">
        <v>121</v>
      </c>
      <c r="G7" s="204" t="s">
        <v>6</v>
      </c>
    </row>
    <row r="8" spans="2:7" x14ac:dyDescent="0.35">
      <c r="B8" s="110" t="s">
        <v>48</v>
      </c>
      <c r="C8" s="104" t="s">
        <v>5</v>
      </c>
      <c r="D8" s="213">
        <v>10201</v>
      </c>
      <c r="E8" s="204" t="s">
        <v>99</v>
      </c>
      <c r="F8" s="204" t="s">
        <v>121</v>
      </c>
      <c r="G8" s="204" t="s">
        <v>6</v>
      </c>
    </row>
    <row r="9" spans="2:7" x14ac:dyDescent="0.35">
      <c r="B9" s="110" t="s">
        <v>49</v>
      </c>
      <c r="C9" s="104" t="s">
        <v>5</v>
      </c>
      <c r="D9" s="213">
        <v>10165</v>
      </c>
      <c r="E9" s="204" t="s">
        <v>99</v>
      </c>
      <c r="F9" s="204" t="s">
        <v>121</v>
      </c>
      <c r="G9" s="204" t="s">
        <v>6</v>
      </c>
    </row>
    <row r="10" spans="2:7" x14ac:dyDescent="0.35">
      <c r="B10" s="111" t="s">
        <v>44</v>
      </c>
      <c r="C10" s="104" t="s">
        <v>5</v>
      </c>
      <c r="D10" s="213">
        <v>0</v>
      </c>
      <c r="E10" s="204" t="s">
        <v>99</v>
      </c>
      <c r="F10" s="204" t="s">
        <v>121</v>
      </c>
      <c r="G10" s="204" t="s">
        <v>6</v>
      </c>
    </row>
    <row r="11" spans="2:7" x14ac:dyDescent="0.35">
      <c r="B11" s="111" t="s">
        <v>45</v>
      </c>
      <c r="C11" s="104" t="s">
        <v>5</v>
      </c>
      <c r="D11" s="213">
        <v>36</v>
      </c>
      <c r="E11" s="204" t="s">
        <v>99</v>
      </c>
      <c r="F11" s="204" t="s">
        <v>121</v>
      </c>
      <c r="G11" s="204" t="s">
        <v>6</v>
      </c>
    </row>
    <row r="12" spans="2:7" x14ac:dyDescent="0.35">
      <c r="B12" s="110" t="s">
        <v>42</v>
      </c>
      <c r="C12" s="105" t="s">
        <v>7</v>
      </c>
      <c r="D12" s="213">
        <v>146665.04</v>
      </c>
      <c r="E12" s="204" t="s">
        <v>99</v>
      </c>
      <c r="F12" s="204" t="s">
        <v>121</v>
      </c>
      <c r="G12" s="204" t="s">
        <v>6</v>
      </c>
    </row>
    <row r="13" spans="2:7" x14ac:dyDescent="0.35">
      <c r="B13" s="110" t="s">
        <v>50</v>
      </c>
      <c r="C13" s="105" t="s">
        <v>7</v>
      </c>
      <c r="D13" s="213">
        <v>146317.28</v>
      </c>
      <c r="E13" s="204" t="s">
        <v>99</v>
      </c>
      <c r="F13" s="204" t="s">
        <v>121</v>
      </c>
      <c r="G13" s="204" t="s">
        <v>6</v>
      </c>
    </row>
    <row r="14" spans="2:7" x14ac:dyDescent="0.35">
      <c r="B14" s="112" t="s">
        <v>46</v>
      </c>
      <c r="C14" s="105" t="s">
        <v>7</v>
      </c>
      <c r="D14" s="213">
        <v>0</v>
      </c>
      <c r="E14" s="204" t="s">
        <v>99</v>
      </c>
      <c r="F14" s="204" t="s">
        <v>121</v>
      </c>
      <c r="G14" s="204" t="s">
        <v>6</v>
      </c>
    </row>
    <row r="15" spans="2:7" x14ac:dyDescent="0.35">
      <c r="B15" s="112" t="s">
        <v>47</v>
      </c>
      <c r="C15" s="105" t="s">
        <v>7</v>
      </c>
      <c r="D15" s="213">
        <v>347.76</v>
      </c>
      <c r="E15" s="204" t="s">
        <v>99</v>
      </c>
      <c r="F15" s="204" t="s">
        <v>121</v>
      </c>
      <c r="G15" s="204" t="s">
        <v>6</v>
      </c>
    </row>
    <row r="16" spans="2:7" x14ac:dyDescent="0.35">
      <c r="B16" s="110" t="s">
        <v>43</v>
      </c>
      <c r="C16" s="223" t="s">
        <v>8</v>
      </c>
      <c r="D16" s="213">
        <v>1.5911999999999999</v>
      </c>
      <c r="E16" s="204" t="s">
        <v>99</v>
      </c>
      <c r="F16" s="204" t="s">
        <v>121</v>
      </c>
      <c r="G16" s="204" t="s">
        <v>6</v>
      </c>
    </row>
    <row r="17" spans="2:7" ht="42" x14ac:dyDescent="0.35">
      <c r="B17" s="107" t="s">
        <v>98</v>
      </c>
      <c r="C17" s="108"/>
      <c r="D17" s="217">
        <v>-685.55852399999742</v>
      </c>
      <c r="E17" s="204" t="s">
        <v>122</v>
      </c>
      <c r="F17" s="204" t="s">
        <v>121</v>
      </c>
      <c r="G17" s="204" t="s">
        <v>6</v>
      </c>
    </row>
    <row r="18" spans="2:7" x14ac:dyDescent="0.35">
      <c r="B18" s="109" t="s">
        <v>11</v>
      </c>
      <c r="C18" s="104" t="s">
        <v>5</v>
      </c>
      <c r="D18" s="213">
        <v>13</v>
      </c>
      <c r="E18" s="204" t="s">
        <v>122</v>
      </c>
      <c r="F18" s="204" t="s">
        <v>121</v>
      </c>
      <c r="G18" s="204" t="s">
        <v>6</v>
      </c>
    </row>
    <row r="19" spans="2:7" x14ac:dyDescent="0.35">
      <c r="B19" s="110" t="s">
        <v>48</v>
      </c>
      <c r="C19" s="104" t="s">
        <v>5</v>
      </c>
      <c r="D19" s="213">
        <v>6814</v>
      </c>
      <c r="E19" s="204" t="s">
        <v>122</v>
      </c>
      <c r="F19" s="204" t="s">
        <v>121</v>
      </c>
      <c r="G19" s="204" t="s">
        <v>6</v>
      </c>
    </row>
    <row r="20" spans="2:7" x14ac:dyDescent="0.35">
      <c r="B20" s="110" t="s">
        <v>49</v>
      </c>
      <c r="C20" s="104" t="s">
        <v>5</v>
      </c>
      <c r="D20" s="213">
        <v>6706</v>
      </c>
      <c r="E20" s="204" t="s">
        <v>122</v>
      </c>
      <c r="F20" s="204" t="s">
        <v>121</v>
      </c>
      <c r="G20" s="204" t="s">
        <v>6</v>
      </c>
    </row>
    <row r="21" spans="2:7" x14ac:dyDescent="0.35">
      <c r="B21" s="111" t="s">
        <v>44</v>
      </c>
      <c r="C21" s="104" t="s">
        <v>5</v>
      </c>
      <c r="D21" s="213">
        <v>0</v>
      </c>
      <c r="E21" s="204" t="s">
        <v>122</v>
      </c>
      <c r="F21" s="204" t="s">
        <v>121</v>
      </c>
      <c r="G21" s="204" t="s">
        <v>6</v>
      </c>
    </row>
    <row r="22" spans="2:7" x14ac:dyDescent="0.35">
      <c r="B22" s="111" t="s">
        <v>45</v>
      </c>
      <c r="C22" s="104" t="s">
        <v>5</v>
      </c>
      <c r="D22" s="213">
        <v>108</v>
      </c>
      <c r="E22" s="204" t="s">
        <v>122</v>
      </c>
      <c r="F22" s="204" t="s">
        <v>121</v>
      </c>
      <c r="G22" s="204" t="s">
        <v>6</v>
      </c>
    </row>
    <row r="23" spans="2:7" x14ac:dyDescent="0.35">
      <c r="B23" s="110" t="s">
        <v>42</v>
      </c>
      <c r="C23" s="105" t="s">
        <v>7</v>
      </c>
      <c r="D23" s="213">
        <v>65745.289999999994</v>
      </c>
      <c r="E23" s="204" t="s">
        <v>122</v>
      </c>
      <c r="F23" s="204" t="s">
        <v>121</v>
      </c>
      <c r="G23" s="204" t="s">
        <v>6</v>
      </c>
    </row>
    <row r="24" spans="2:7" x14ac:dyDescent="0.35">
      <c r="B24" s="110" t="s">
        <v>50</v>
      </c>
      <c r="C24" s="105" t="s">
        <v>7</v>
      </c>
      <c r="D24" s="213">
        <v>64902.77</v>
      </c>
      <c r="E24" s="204" t="s">
        <v>122</v>
      </c>
      <c r="F24" s="204" t="s">
        <v>121</v>
      </c>
      <c r="G24" s="204" t="s">
        <v>6</v>
      </c>
    </row>
    <row r="25" spans="2:7" x14ac:dyDescent="0.35">
      <c r="B25" s="112" t="s">
        <v>46</v>
      </c>
      <c r="C25" s="105" t="s">
        <v>7</v>
      </c>
      <c r="D25" s="213">
        <v>0</v>
      </c>
      <c r="E25" s="204" t="s">
        <v>122</v>
      </c>
      <c r="F25" s="204" t="s">
        <v>121</v>
      </c>
      <c r="G25" s="204" t="s">
        <v>6</v>
      </c>
    </row>
    <row r="26" spans="2:7" x14ac:dyDescent="0.35">
      <c r="B26" s="112" t="s">
        <v>47</v>
      </c>
      <c r="C26" s="105" t="s">
        <v>7</v>
      </c>
      <c r="D26" s="213">
        <v>842.52</v>
      </c>
      <c r="E26" s="204" t="s">
        <v>122</v>
      </c>
      <c r="F26" s="204" t="s">
        <v>121</v>
      </c>
      <c r="G26" s="204" t="s">
        <v>6</v>
      </c>
    </row>
    <row r="27" spans="2:7" x14ac:dyDescent="0.35">
      <c r="B27" s="110" t="s">
        <v>43</v>
      </c>
      <c r="C27" s="223" t="s">
        <v>8</v>
      </c>
      <c r="D27" s="213">
        <v>0.81369999999999998</v>
      </c>
      <c r="E27" s="204" t="s">
        <v>122</v>
      </c>
      <c r="F27" s="204" t="s">
        <v>121</v>
      </c>
      <c r="G27" s="204" t="s">
        <v>6</v>
      </c>
    </row>
    <row r="28" spans="2:7" ht="42" x14ac:dyDescent="0.35">
      <c r="B28" s="107" t="s">
        <v>98</v>
      </c>
      <c r="C28" s="108"/>
      <c r="D28" s="217">
        <v>0</v>
      </c>
      <c r="E28" s="204" t="s">
        <v>123</v>
      </c>
      <c r="F28" s="204" t="s">
        <v>121</v>
      </c>
      <c r="G28" s="204" t="s">
        <v>6</v>
      </c>
    </row>
    <row r="29" spans="2:7" x14ac:dyDescent="0.35">
      <c r="B29" s="109" t="s">
        <v>11</v>
      </c>
      <c r="C29" s="104" t="s">
        <v>5</v>
      </c>
      <c r="D29" s="213">
        <v>20</v>
      </c>
      <c r="E29" s="204" t="s">
        <v>123</v>
      </c>
      <c r="F29" s="204" t="s">
        <v>121</v>
      </c>
      <c r="G29" s="204" t="s">
        <v>6</v>
      </c>
    </row>
    <row r="30" spans="2:7" x14ac:dyDescent="0.35">
      <c r="B30" s="110" t="s">
        <v>48</v>
      </c>
      <c r="C30" s="104" t="s">
        <v>5</v>
      </c>
      <c r="D30" s="213">
        <v>6084</v>
      </c>
      <c r="E30" s="204" t="s">
        <v>123</v>
      </c>
      <c r="F30" s="204" t="s">
        <v>121</v>
      </c>
      <c r="G30" s="204" t="s">
        <v>6</v>
      </c>
    </row>
    <row r="31" spans="2:7" x14ac:dyDescent="0.35">
      <c r="B31" s="110" t="s">
        <v>49</v>
      </c>
      <c r="C31" s="104" t="s">
        <v>5</v>
      </c>
      <c r="D31" s="213">
        <v>6084</v>
      </c>
      <c r="E31" s="204" t="s">
        <v>123</v>
      </c>
      <c r="F31" s="204" t="s">
        <v>121</v>
      </c>
      <c r="G31" s="204" t="s">
        <v>6</v>
      </c>
    </row>
    <row r="32" spans="2:7" x14ac:dyDescent="0.35">
      <c r="B32" s="111" t="s">
        <v>44</v>
      </c>
      <c r="C32" s="104" t="s">
        <v>5</v>
      </c>
      <c r="D32" s="213">
        <v>0</v>
      </c>
      <c r="E32" s="204" t="s">
        <v>123</v>
      </c>
      <c r="F32" s="204" t="s">
        <v>121</v>
      </c>
      <c r="G32" s="204" t="s">
        <v>6</v>
      </c>
    </row>
    <row r="33" spans="2:7" x14ac:dyDescent="0.35">
      <c r="B33" s="111" t="s">
        <v>45</v>
      </c>
      <c r="C33" s="104" t="s">
        <v>5</v>
      </c>
      <c r="D33" s="213">
        <v>0</v>
      </c>
      <c r="E33" s="204" t="s">
        <v>123</v>
      </c>
      <c r="F33" s="204" t="s">
        <v>121</v>
      </c>
      <c r="G33" s="204" t="s">
        <v>6</v>
      </c>
    </row>
    <row r="34" spans="2:7" x14ac:dyDescent="0.35">
      <c r="B34" s="110" t="s">
        <v>42</v>
      </c>
      <c r="C34" s="105" t="s">
        <v>7</v>
      </c>
      <c r="D34" s="213">
        <v>45021.599999999999</v>
      </c>
      <c r="E34" s="204" t="s">
        <v>123</v>
      </c>
      <c r="F34" s="204" t="s">
        <v>121</v>
      </c>
      <c r="G34" s="204" t="s">
        <v>6</v>
      </c>
    </row>
    <row r="35" spans="2:7" x14ac:dyDescent="0.35">
      <c r="B35" s="110" t="s">
        <v>50</v>
      </c>
      <c r="C35" s="105" t="s">
        <v>7</v>
      </c>
      <c r="D35" s="213">
        <v>45021.599999999999</v>
      </c>
      <c r="E35" s="204" t="s">
        <v>123</v>
      </c>
      <c r="F35" s="204" t="s">
        <v>121</v>
      </c>
      <c r="G35" s="204" t="s">
        <v>6</v>
      </c>
    </row>
    <row r="36" spans="2:7" x14ac:dyDescent="0.35">
      <c r="B36" s="112" t="s">
        <v>46</v>
      </c>
      <c r="C36" s="105" t="s">
        <v>7</v>
      </c>
      <c r="D36" s="213">
        <v>0</v>
      </c>
      <c r="E36" s="204" t="s">
        <v>123</v>
      </c>
      <c r="F36" s="204" t="s">
        <v>121</v>
      </c>
      <c r="G36" s="204" t="s">
        <v>6</v>
      </c>
    </row>
    <row r="37" spans="2:7" x14ac:dyDescent="0.35">
      <c r="B37" s="112" t="s">
        <v>47</v>
      </c>
      <c r="C37" s="105" t="s">
        <v>7</v>
      </c>
      <c r="D37" s="213">
        <v>0</v>
      </c>
      <c r="E37" s="204" t="s">
        <v>123</v>
      </c>
      <c r="F37" s="204" t="s">
        <v>121</v>
      </c>
      <c r="G37" s="204" t="s">
        <v>6</v>
      </c>
    </row>
    <row r="38" spans="2:7" x14ac:dyDescent="0.35">
      <c r="B38" s="110" t="s">
        <v>43</v>
      </c>
      <c r="C38" s="223" t="s">
        <v>8</v>
      </c>
      <c r="D38" s="213">
        <v>2.8062999999999998</v>
      </c>
      <c r="E38" s="204" t="s">
        <v>123</v>
      </c>
      <c r="F38" s="204" t="s">
        <v>121</v>
      </c>
      <c r="G38" s="204" t="s">
        <v>6</v>
      </c>
    </row>
    <row r="39" spans="2:7" ht="56.5" x14ac:dyDescent="0.35">
      <c r="B39" s="113" t="s">
        <v>100</v>
      </c>
      <c r="C39" s="114"/>
      <c r="D39" s="224">
        <f>SUM(D43*D50)</f>
        <v>4.74</v>
      </c>
      <c r="E39" s="204" t="s">
        <v>99</v>
      </c>
      <c r="F39" s="204" t="s">
        <v>121</v>
      </c>
      <c r="G39" s="204" t="s">
        <v>6</v>
      </c>
    </row>
    <row r="40" spans="2:7" ht="28.5" x14ac:dyDescent="0.35">
      <c r="B40" s="115" t="s">
        <v>39</v>
      </c>
      <c r="C40" s="59"/>
      <c r="D40" s="215"/>
      <c r="E40" s="204" t="s">
        <v>99</v>
      </c>
      <c r="F40" s="204" t="s">
        <v>121</v>
      </c>
      <c r="G40" s="204" t="s">
        <v>6</v>
      </c>
    </row>
    <row r="41" spans="2:7" x14ac:dyDescent="0.35">
      <c r="B41" s="116" t="s">
        <v>61</v>
      </c>
      <c r="C41" s="57" t="s">
        <v>25</v>
      </c>
      <c r="D41" s="214"/>
      <c r="E41" s="204" t="s">
        <v>99</v>
      </c>
      <c r="F41" s="204" t="s">
        <v>121</v>
      </c>
      <c r="G41" s="204" t="s">
        <v>6</v>
      </c>
    </row>
    <row r="42" spans="2:7" x14ac:dyDescent="0.35">
      <c r="B42" s="116" t="s">
        <v>63</v>
      </c>
      <c r="C42" s="57" t="s">
        <v>25</v>
      </c>
      <c r="D42" s="214"/>
      <c r="E42" s="204" t="s">
        <v>99</v>
      </c>
      <c r="F42" s="204" t="s">
        <v>121</v>
      </c>
      <c r="G42" s="204" t="s">
        <v>6</v>
      </c>
    </row>
    <row r="43" spans="2:7" x14ac:dyDescent="0.35">
      <c r="B43" s="116" t="s">
        <v>12</v>
      </c>
      <c r="C43" s="57" t="s">
        <v>59</v>
      </c>
      <c r="D43" s="214">
        <v>79</v>
      </c>
      <c r="E43" s="204" t="s">
        <v>99</v>
      </c>
      <c r="F43" s="204" t="s">
        <v>121</v>
      </c>
      <c r="G43" s="204" t="s">
        <v>6</v>
      </c>
    </row>
    <row r="44" spans="2:7" x14ac:dyDescent="0.35">
      <c r="B44" s="116" t="s">
        <v>62</v>
      </c>
      <c r="C44" s="57" t="s">
        <v>60</v>
      </c>
      <c r="D44" s="214"/>
      <c r="E44" s="204" t="s">
        <v>99</v>
      </c>
      <c r="F44" s="204" t="s">
        <v>121</v>
      </c>
      <c r="G44" s="204" t="s">
        <v>6</v>
      </c>
    </row>
    <row r="45" spans="2:7" x14ac:dyDescent="0.35">
      <c r="B45" s="116" t="s">
        <v>64</v>
      </c>
      <c r="C45" s="57" t="s">
        <v>59</v>
      </c>
      <c r="D45" s="214"/>
      <c r="E45" s="204" t="s">
        <v>99</v>
      </c>
      <c r="F45" s="204" t="s">
        <v>121</v>
      </c>
      <c r="G45" s="204" t="s">
        <v>6</v>
      </c>
    </row>
    <row r="46" spans="2:7" x14ac:dyDescent="0.35">
      <c r="B46" s="117" t="s">
        <v>65</v>
      </c>
      <c r="C46" s="57" t="s">
        <v>59</v>
      </c>
      <c r="D46" s="214"/>
      <c r="E46" s="204" t="s">
        <v>99</v>
      </c>
      <c r="F46" s="204" t="s">
        <v>121</v>
      </c>
      <c r="G46" s="204" t="s">
        <v>6</v>
      </c>
    </row>
    <row r="47" spans="2:7" ht="28.5" x14ac:dyDescent="0.35">
      <c r="B47" s="115" t="s">
        <v>40</v>
      </c>
      <c r="C47" s="59" t="s">
        <v>26</v>
      </c>
      <c r="D47" s="215"/>
      <c r="E47" s="204" t="s">
        <v>99</v>
      </c>
      <c r="F47" s="204" t="s">
        <v>121</v>
      </c>
      <c r="G47" s="204" t="s">
        <v>6</v>
      </c>
    </row>
    <row r="48" spans="2:7" x14ac:dyDescent="0.35">
      <c r="B48" s="116" t="s">
        <v>57</v>
      </c>
      <c r="C48" s="59" t="s">
        <v>26</v>
      </c>
      <c r="D48" s="215"/>
      <c r="E48" s="204" t="s">
        <v>99</v>
      </c>
      <c r="F48" s="204" t="s">
        <v>121</v>
      </c>
      <c r="G48" s="204" t="s">
        <v>6</v>
      </c>
    </row>
    <row r="49" spans="2:7" x14ac:dyDescent="0.35">
      <c r="B49" s="116" t="s">
        <v>58</v>
      </c>
      <c r="C49" s="59" t="s">
        <v>26</v>
      </c>
      <c r="D49" s="215"/>
      <c r="E49" s="204" t="s">
        <v>99</v>
      </c>
      <c r="F49" s="204" t="s">
        <v>121</v>
      </c>
      <c r="G49" s="204" t="s">
        <v>6</v>
      </c>
    </row>
    <row r="50" spans="2:7" x14ac:dyDescent="0.35">
      <c r="B50" s="116" t="s">
        <v>12</v>
      </c>
      <c r="C50" s="59" t="s">
        <v>26</v>
      </c>
      <c r="D50" s="215">
        <v>0.06</v>
      </c>
      <c r="E50" s="204" t="s">
        <v>99</v>
      </c>
      <c r="F50" s="204" t="s">
        <v>121</v>
      </c>
      <c r="G50" s="204" t="s">
        <v>6</v>
      </c>
    </row>
    <row r="51" spans="2:7" x14ac:dyDescent="0.35">
      <c r="B51" s="116" t="s">
        <v>54</v>
      </c>
      <c r="C51" s="59" t="s">
        <v>26</v>
      </c>
      <c r="D51" s="215"/>
      <c r="E51" s="204" t="s">
        <v>99</v>
      </c>
      <c r="F51" s="204" t="s">
        <v>121</v>
      </c>
      <c r="G51" s="204" t="s">
        <v>6</v>
      </c>
    </row>
    <row r="52" spans="2:7" x14ac:dyDescent="0.35">
      <c r="B52" s="116" t="s">
        <v>55</v>
      </c>
      <c r="C52" s="59" t="s">
        <v>26</v>
      </c>
      <c r="D52" s="215"/>
      <c r="E52" s="204" t="s">
        <v>99</v>
      </c>
      <c r="F52" s="204" t="s">
        <v>121</v>
      </c>
      <c r="G52" s="204" t="s">
        <v>6</v>
      </c>
    </row>
    <row r="53" spans="2:7" x14ac:dyDescent="0.35">
      <c r="B53" s="117" t="s">
        <v>56</v>
      </c>
      <c r="C53" s="59" t="s">
        <v>26</v>
      </c>
      <c r="D53" s="215"/>
      <c r="E53" s="204" t="s">
        <v>99</v>
      </c>
      <c r="F53" s="204" t="s">
        <v>121</v>
      </c>
      <c r="G53" s="204" t="s">
        <v>6</v>
      </c>
    </row>
    <row r="54" spans="2:7" ht="56.5" x14ac:dyDescent="0.35">
      <c r="B54" s="113" t="s">
        <v>100</v>
      </c>
      <c r="C54" s="114"/>
      <c r="D54" s="224">
        <v>2.1</v>
      </c>
      <c r="E54" s="204" t="s">
        <v>122</v>
      </c>
      <c r="F54" s="204" t="s">
        <v>121</v>
      </c>
      <c r="G54" s="204" t="s">
        <v>6</v>
      </c>
    </row>
    <row r="55" spans="2:7" ht="28.5" x14ac:dyDescent="0.35">
      <c r="B55" s="115" t="s">
        <v>39</v>
      </c>
      <c r="C55" s="59"/>
      <c r="D55" s="215"/>
      <c r="E55" s="204" t="s">
        <v>122</v>
      </c>
      <c r="F55" s="204" t="s">
        <v>121</v>
      </c>
      <c r="G55" s="204" t="s">
        <v>6</v>
      </c>
    </row>
    <row r="56" spans="2:7" x14ac:dyDescent="0.35">
      <c r="B56" s="116" t="s">
        <v>61</v>
      </c>
      <c r="C56" s="57" t="s">
        <v>25</v>
      </c>
      <c r="D56" s="214"/>
      <c r="E56" s="204" t="s">
        <v>122</v>
      </c>
      <c r="F56" s="204" t="s">
        <v>121</v>
      </c>
      <c r="G56" s="204" t="s">
        <v>6</v>
      </c>
    </row>
    <row r="57" spans="2:7" x14ac:dyDescent="0.35">
      <c r="B57" s="116" t="s">
        <v>63</v>
      </c>
      <c r="C57" s="57" t="s">
        <v>25</v>
      </c>
      <c r="D57" s="214"/>
      <c r="E57" s="204" t="s">
        <v>122</v>
      </c>
      <c r="F57" s="204" t="s">
        <v>121</v>
      </c>
      <c r="G57" s="204" t="s">
        <v>6</v>
      </c>
    </row>
    <row r="58" spans="2:7" x14ac:dyDescent="0.35">
      <c r="B58" s="116" t="s">
        <v>12</v>
      </c>
      <c r="C58" s="57" t="s">
        <v>59</v>
      </c>
      <c r="D58" s="214">
        <v>35</v>
      </c>
      <c r="E58" s="204" t="s">
        <v>122</v>
      </c>
      <c r="F58" s="204" t="s">
        <v>121</v>
      </c>
      <c r="G58" s="204" t="s">
        <v>6</v>
      </c>
    </row>
    <row r="59" spans="2:7" x14ac:dyDescent="0.35">
      <c r="B59" s="116" t="s">
        <v>62</v>
      </c>
      <c r="C59" s="57" t="s">
        <v>60</v>
      </c>
      <c r="D59" s="214"/>
      <c r="E59" s="204" t="s">
        <v>122</v>
      </c>
      <c r="F59" s="204" t="s">
        <v>121</v>
      </c>
      <c r="G59" s="204" t="s">
        <v>6</v>
      </c>
    </row>
    <row r="60" spans="2:7" x14ac:dyDescent="0.35">
      <c r="B60" s="116" t="s">
        <v>64</v>
      </c>
      <c r="C60" s="57" t="s">
        <v>59</v>
      </c>
      <c r="D60" s="214"/>
      <c r="E60" s="204" t="s">
        <v>122</v>
      </c>
      <c r="F60" s="204" t="s">
        <v>121</v>
      </c>
      <c r="G60" s="204" t="s">
        <v>6</v>
      </c>
    </row>
    <row r="61" spans="2:7" x14ac:dyDescent="0.35">
      <c r="B61" s="117" t="s">
        <v>65</v>
      </c>
      <c r="C61" s="57" t="s">
        <v>59</v>
      </c>
      <c r="D61" s="214"/>
      <c r="E61" s="204" t="s">
        <v>122</v>
      </c>
      <c r="F61" s="204" t="s">
        <v>121</v>
      </c>
      <c r="G61" s="204" t="s">
        <v>6</v>
      </c>
    </row>
    <row r="62" spans="2:7" ht="28.5" x14ac:dyDescent="0.35">
      <c r="B62" s="115" t="s">
        <v>40</v>
      </c>
      <c r="C62" s="59" t="s">
        <v>26</v>
      </c>
      <c r="D62" s="215"/>
      <c r="E62" s="204" t="s">
        <v>122</v>
      </c>
      <c r="F62" s="204" t="s">
        <v>121</v>
      </c>
      <c r="G62" s="204" t="s">
        <v>6</v>
      </c>
    </row>
    <row r="63" spans="2:7" x14ac:dyDescent="0.35">
      <c r="B63" s="116" t="s">
        <v>57</v>
      </c>
      <c r="C63" s="59" t="s">
        <v>26</v>
      </c>
      <c r="D63" s="215"/>
      <c r="E63" s="204" t="s">
        <v>122</v>
      </c>
      <c r="F63" s="204" t="s">
        <v>121</v>
      </c>
      <c r="G63" s="204" t="s">
        <v>6</v>
      </c>
    </row>
    <row r="64" spans="2:7" x14ac:dyDescent="0.35">
      <c r="B64" s="116" t="s">
        <v>58</v>
      </c>
      <c r="C64" s="59" t="s">
        <v>26</v>
      </c>
      <c r="D64" s="215"/>
      <c r="E64" s="204" t="s">
        <v>122</v>
      </c>
      <c r="F64" s="204" t="s">
        <v>121</v>
      </c>
      <c r="G64" s="204" t="s">
        <v>6</v>
      </c>
    </row>
    <row r="65" spans="2:7" x14ac:dyDescent="0.35">
      <c r="B65" s="116" t="s">
        <v>12</v>
      </c>
      <c r="C65" s="59" t="s">
        <v>26</v>
      </c>
      <c r="D65" s="215">
        <v>0.06</v>
      </c>
      <c r="E65" s="204" t="s">
        <v>122</v>
      </c>
      <c r="F65" s="204" t="s">
        <v>121</v>
      </c>
      <c r="G65" s="204" t="s">
        <v>6</v>
      </c>
    </row>
    <row r="66" spans="2:7" x14ac:dyDescent="0.35">
      <c r="B66" s="116" t="s">
        <v>54</v>
      </c>
      <c r="C66" s="59" t="s">
        <v>26</v>
      </c>
      <c r="D66" s="215"/>
      <c r="E66" s="204" t="s">
        <v>122</v>
      </c>
      <c r="F66" s="204" t="s">
        <v>121</v>
      </c>
      <c r="G66" s="204" t="s">
        <v>6</v>
      </c>
    </row>
    <row r="67" spans="2:7" x14ac:dyDescent="0.35">
      <c r="B67" s="116" t="s">
        <v>55</v>
      </c>
      <c r="C67" s="59" t="s">
        <v>26</v>
      </c>
      <c r="D67" s="215"/>
      <c r="E67" s="204" t="s">
        <v>122</v>
      </c>
      <c r="F67" s="204" t="s">
        <v>121</v>
      </c>
      <c r="G67" s="204" t="s">
        <v>6</v>
      </c>
    </row>
    <row r="68" spans="2:7" x14ac:dyDescent="0.35">
      <c r="B68" s="117" t="s">
        <v>56</v>
      </c>
      <c r="C68" s="59" t="s">
        <v>26</v>
      </c>
      <c r="D68" s="215"/>
      <c r="E68" s="204" t="s">
        <v>122</v>
      </c>
      <c r="F68" s="204" t="s">
        <v>121</v>
      </c>
      <c r="G68" s="204" t="s">
        <v>6</v>
      </c>
    </row>
    <row r="69" spans="2:7" ht="56.5" x14ac:dyDescent="0.35">
      <c r="B69" s="113" t="s">
        <v>100</v>
      </c>
      <c r="C69" s="114"/>
      <c r="D69" s="225">
        <v>123.78</v>
      </c>
      <c r="E69" s="204" t="s">
        <v>123</v>
      </c>
      <c r="F69" s="204" t="s">
        <v>121</v>
      </c>
      <c r="G69" s="204" t="s">
        <v>6</v>
      </c>
    </row>
    <row r="70" spans="2:7" ht="28.5" x14ac:dyDescent="0.35">
      <c r="B70" s="115" t="s">
        <v>39</v>
      </c>
      <c r="C70" s="59"/>
      <c r="D70" s="213"/>
      <c r="E70" s="204" t="s">
        <v>123</v>
      </c>
      <c r="F70" s="204" t="s">
        <v>121</v>
      </c>
      <c r="G70" s="204" t="s">
        <v>6</v>
      </c>
    </row>
    <row r="71" spans="2:7" x14ac:dyDescent="0.35">
      <c r="B71" s="116" t="s">
        <v>61</v>
      </c>
      <c r="C71" s="57" t="s">
        <v>25</v>
      </c>
      <c r="D71" s="213">
        <v>5</v>
      </c>
      <c r="E71" s="204" t="s">
        <v>123</v>
      </c>
      <c r="F71" s="204" t="s">
        <v>121</v>
      </c>
      <c r="G71" s="204" t="s">
        <v>6</v>
      </c>
    </row>
    <row r="72" spans="2:7" x14ac:dyDescent="0.35">
      <c r="B72" s="116" t="s">
        <v>63</v>
      </c>
      <c r="C72" s="57" t="s">
        <v>25</v>
      </c>
      <c r="D72" s="213">
        <v>15</v>
      </c>
      <c r="E72" s="204" t="s">
        <v>123</v>
      </c>
      <c r="F72" s="204" t="s">
        <v>121</v>
      </c>
      <c r="G72" s="204" t="s">
        <v>6</v>
      </c>
    </row>
    <row r="73" spans="2:7" x14ac:dyDescent="0.35">
      <c r="B73" s="116" t="s">
        <v>12</v>
      </c>
      <c r="C73" s="57" t="s">
        <v>59</v>
      </c>
      <c r="D73" s="213"/>
      <c r="E73" s="204" t="s">
        <v>123</v>
      </c>
      <c r="F73" s="204" t="s">
        <v>121</v>
      </c>
      <c r="G73" s="204" t="s">
        <v>6</v>
      </c>
    </row>
    <row r="74" spans="2:7" x14ac:dyDescent="0.35">
      <c r="B74" s="116" t="s">
        <v>62</v>
      </c>
      <c r="C74" s="57" t="s">
        <v>60</v>
      </c>
      <c r="D74" s="213">
        <v>260</v>
      </c>
      <c r="E74" s="204" t="s">
        <v>123</v>
      </c>
      <c r="F74" s="204" t="s">
        <v>121</v>
      </c>
      <c r="G74" s="204" t="s">
        <v>6</v>
      </c>
    </row>
    <row r="75" spans="2:7" x14ac:dyDescent="0.35">
      <c r="B75" s="116" t="s">
        <v>64</v>
      </c>
      <c r="C75" s="57" t="s">
        <v>59</v>
      </c>
      <c r="D75" s="213">
        <v>5</v>
      </c>
      <c r="E75" s="204" t="s">
        <v>123</v>
      </c>
      <c r="F75" s="204" t="s">
        <v>121</v>
      </c>
      <c r="G75" s="204" t="s">
        <v>6</v>
      </c>
    </row>
    <row r="76" spans="2:7" x14ac:dyDescent="0.35">
      <c r="B76" s="117" t="s">
        <v>65</v>
      </c>
      <c r="C76" s="57" t="s">
        <v>59</v>
      </c>
      <c r="D76" s="213">
        <v>1</v>
      </c>
      <c r="E76" s="204" t="s">
        <v>123</v>
      </c>
      <c r="F76" s="204" t="s">
        <v>121</v>
      </c>
      <c r="G76" s="204" t="s">
        <v>6</v>
      </c>
    </row>
    <row r="77" spans="2:7" ht="28.5" x14ac:dyDescent="0.35">
      <c r="B77" s="115" t="s">
        <v>40</v>
      </c>
      <c r="C77" s="59" t="s">
        <v>26</v>
      </c>
      <c r="D77" s="213"/>
      <c r="E77" s="204" t="s">
        <v>123</v>
      </c>
      <c r="F77" s="204" t="s">
        <v>121</v>
      </c>
      <c r="G77" s="204" t="s">
        <v>6</v>
      </c>
    </row>
    <row r="78" spans="2:7" x14ac:dyDescent="0.35">
      <c r="B78" s="116" t="s">
        <v>57</v>
      </c>
      <c r="C78" s="59" t="s">
        <v>26</v>
      </c>
      <c r="D78" s="213">
        <v>2.62</v>
      </c>
      <c r="E78" s="204" t="s">
        <v>123</v>
      </c>
      <c r="F78" s="204" t="s">
        <v>121</v>
      </c>
      <c r="G78" s="204" t="s">
        <v>6</v>
      </c>
    </row>
    <row r="79" spans="2:7" x14ac:dyDescent="0.35">
      <c r="B79" s="116" t="s">
        <v>58</v>
      </c>
      <c r="C79" s="59" t="s">
        <v>26</v>
      </c>
      <c r="D79" s="213">
        <v>2.86</v>
      </c>
      <c r="E79" s="204" t="s">
        <v>123</v>
      </c>
      <c r="F79" s="204" t="s">
        <v>121</v>
      </c>
      <c r="G79" s="204" t="s">
        <v>6</v>
      </c>
    </row>
    <row r="80" spans="2:7" x14ac:dyDescent="0.35">
      <c r="B80" s="116" t="s">
        <v>12</v>
      </c>
      <c r="C80" s="59" t="s">
        <v>26</v>
      </c>
      <c r="D80" s="213"/>
      <c r="E80" s="204" t="s">
        <v>123</v>
      </c>
      <c r="F80" s="204" t="s">
        <v>121</v>
      </c>
      <c r="G80" s="204" t="s">
        <v>6</v>
      </c>
    </row>
    <row r="81" spans="2:7" x14ac:dyDescent="0.35">
      <c r="B81" s="116" t="s">
        <v>54</v>
      </c>
      <c r="C81" s="59" t="s">
        <v>26</v>
      </c>
      <c r="D81" s="213">
        <v>0.23</v>
      </c>
      <c r="E81" s="204" t="s">
        <v>123</v>
      </c>
      <c r="F81" s="204" t="s">
        <v>121</v>
      </c>
      <c r="G81" s="204" t="s">
        <v>6</v>
      </c>
    </row>
    <row r="82" spans="2:7" x14ac:dyDescent="0.35">
      <c r="B82" s="116" t="s">
        <v>55</v>
      </c>
      <c r="C82" s="59" t="s">
        <v>26</v>
      </c>
      <c r="D82" s="213">
        <v>1.32</v>
      </c>
      <c r="E82" s="204" t="s">
        <v>123</v>
      </c>
      <c r="F82" s="204" t="s">
        <v>121</v>
      </c>
      <c r="G82" s="204" t="s">
        <v>6</v>
      </c>
    </row>
    <row r="83" spans="2:7" x14ac:dyDescent="0.35">
      <c r="B83" s="117" t="s">
        <v>56</v>
      </c>
      <c r="C83" s="59" t="s">
        <v>26</v>
      </c>
      <c r="D83" s="213">
        <v>1.38</v>
      </c>
      <c r="E83" s="204" t="s">
        <v>123</v>
      </c>
      <c r="F83" s="204" t="s">
        <v>121</v>
      </c>
      <c r="G83" s="204" t="s">
        <v>6</v>
      </c>
    </row>
    <row r="84" spans="2:7" ht="28.5" x14ac:dyDescent="0.35">
      <c r="B84" s="226" t="s">
        <v>101</v>
      </c>
      <c r="C84" s="227"/>
      <c r="D84" s="228">
        <v>39844.114257586123</v>
      </c>
      <c r="E84" s="204" t="s">
        <v>99</v>
      </c>
      <c r="F84" s="204" t="s">
        <v>121</v>
      </c>
      <c r="G84" s="204" t="s">
        <v>6</v>
      </c>
    </row>
    <row r="85" spans="2:7" ht="56.5" x14ac:dyDescent="0.35">
      <c r="B85" s="118" t="s">
        <v>102</v>
      </c>
      <c r="C85" s="106" t="s">
        <v>30</v>
      </c>
      <c r="D85" s="216">
        <v>74913.11</v>
      </c>
      <c r="E85" s="204" t="s">
        <v>99</v>
      </c>
      <c r="F85" s="204" t="s">
        <v>121</v>
      </c>
      <c r="G85" s="204" t="s">
        <v>6</v>
      </c>
    </row>
    <row r="86" spans="2:7" x14ac:dyDescent="0.35">
      <c r="B86" s="118" t="s">
        <v>103</v>
      </c>
      <c r="C86" s="106" t="s">
        <v>7</v>
      </c>
      <c r="D86" s="216">
        <v>146317.28</v>
      </c>
      <c r="E86" s="204" t="s">
        <v>99</v>
      </c>
      <c r="F86" s="204" t="s">
        <v>121</v>
      </c>
      <c r="G86" s="204" t="s">
        <v>6</v>
      </c>
    </row>
    <row r="87" spans="2:7" ht="56.5" x14ac:dyDescent="0.35">
      <c r="B87" s="118" t="s">
        <v>104</v>
      </c>
      <c r="C87" s="106" t="s">
        <v>30</v>
      </c>
      <c r="D87" s="216">
        <v>139567.43</v>
      </c>
      <c r="E87" s="204" t="s">
        <v>99</v>
      </c>
      <c r="F87" s="204" t="s">
        <v>121</v>
      </c>
      <c r="G87" s="204" t="s">
        <v>6</v>
      </c>
    </row>
    <row r="88" spans="2:7" x14ac:dyDescent="0.35">
      <c r="B88" s="118" t="s">
        <v>105</v>
      </c>
      <c r="C88" s="106" t="s">
        <v>7</v>
      </c>
      <c r="D88" s="216">
        <v>177950.6856</v>
      </c>
      <c r="E88" s="204" t="s">
        <v>99</v>
      </c>
      <c r="F88" s="204" t="s">
        <v>121</v>
      </c>
      <c r="G88" s="204" t="s">
        <v>6</v>
      </c>
    </row>
    <row r="89" spans="2:7" ht="28.5" x14ac:dyDescent="0.35">
      <c r="B89" s="226" t="s">
        <v>101</v>
      </c>
      <c r="C89" s="227"/>
      <c r="D89" s="228">
        <v>15998.645778817619</v>
      </c>
      <c r="E89" s="204" t="s">
        <v>122</v>
      </c>
      <c r="F89" s="204" t="s">
        <v>121</v>
      </c>
      <c r="G89" s="204" t="s">
        <v>6</v>
      </c>
    </row>
    <row r="90" spans="2:7" ht="56.5" x14ac:dyDescent="0.35">
      <c r="B90" s="118" t="s">
        <v>102</v>
      </c>
      <c r="C90" s="106" t="s">
        <v>30</v>
      </c>
      <c r="D90" s="216">
        <v>30374.29</v>
      </c>
      <c r="E90" s="204" t="s">
        <v>122</v>
      </c>
      <c r="F90" s="204" t="s">
        <v>121</v>
      </c>
      <c r="G90" s="204" t="s">
        <v>6</v>
      </c>
    </row>
    <row r="91" spans="2:7" x14ac:dyDescent="0.35">
      <c r="B91" s="118" t="s">
        <v>103</v>
      </c>
      <c r="C91" s="106" t="s">
        <v>7</v>
      </c>
      <c r="D91" s="216">
        <v>64902.77</v>
      </c>
      <c r="E91" s="204" t="s">
        <v>122</v>
      </c>
      <c r="F91" s="204" t="s">
        <v>121</v>
      </c>
      <c r="G91" s="204" t="s">
        <v>6</v>
      </c>
    </row>
    <row r="92" spans="2:7" ht="56.5" x14ac:dyDescent="0.35">
      <c r="B92" s="118" t="s">
        <v>104</v>
      </c>
      <c r="C92" s="106" t="s">
        <v>30</v>
      </c>
      <c r="D92" s="216">
        <v>46243.24</v>
      </c>
      <c r="E92" s="204" t="s">
        <v>122</v>
      </c>
      <c r="F92" s="204" t="s">
        <v>121</v>
      </c>
      <c r="G92" s="204" t="s">
        <v>6</v>
      </c>
    </row>
    <row r="93" spans="2:7" x14ac:dyDescent="0.35">
      <c r="B93" s="118" t="s">
        <v>105</v>
      </c>
      <c r="C93" s="106" t="s">
        <v>7</v>
      </c>
      <c r="D93" s="216">
        <v>64721.25</v>
      </c>
      <c r="E93" s="204" t="s">
        <v>122</v>
      </c>
      <c r="F93" s="204" t="s">
        <v>121</v>
      </c>
      <c r="G93" s="204" t="s">
        <v>6</v>
      </c>
    </row>
    <row r="94" spans="2:7" ht="28.5" x14ac:dyDescent="0.35">
      <c r="B94" s="226" t="s">
        <v>101</v>
      </c>
      <c r="C94" s="227"/>
      <c r="D94" s="228">
        <v>13650.344734461389</v>
      </c>
      <c r="E94" s="204" t="s">
        <v>123</v>
      </c>
      <c r="F94" s="204" t="s">
        <v>121</v>
      </c>
      <c r="G94" s="204" t="s">
        <v>6</v>
      </c>
    </row>
    <row r="95" spans="2:7" ht="56.5" x14ac:dyDescent="0.35">
      <c r="B95" s="118" t="s">
        <v>102</v>
      </c>
      <c r="C95" s="106" t="s">
        <v>30</v>
      </c>
      <c r="D95" s="216">
        <v>24986.48</v>
      </c>
      <c r="E95" s="204" t="s">
        <v>123</v>
      </c>
      <c r="F95" s="204" t="s">
        <v>121</v>
      </c>
      <c r="G95" s="204" t="s">
        <v>6</v>
      </c>
    </row>
    <row r="96" spans="2:7" x14ac:dyDescent="0.35">
      <c r="B96" s="118" t="s">
        <v>103</v>
      </c>
      <c r="C96" s="106" t="s">
        <v>7</v>
      </c>
      <c r="D96" s="216">
        <v>45021.599999999999</v>
      </c>
      <c r="E96" s="204" t="s">
        <v>123</v>
      </c>
      <c r="F96" s="204" t="s">
        <v>121</v>
      </c>
      <c r="G96" s="204" t="s">
        <v>6</v>
      </c>
    </row>
    <row r="97" spans="2:7" ht="56.5" x14ac:dyDescent="0.35">
      <c r="B97" s="118" t="s">
        <v>104</v>
      </c>
      <c r="C97" s="106" t="s">
        <v>30</v>
      </c>
      <c r="D97" s="216">
        <v>37906.51</v>
      </c>
      <c r="E97" s="204" t="s">
        <v>123</v>
      </c>
      <c r="F97" s="204" t="s">
        <v>121</v>
      </c>
      <c r="G97" s="204" t="s">
        <v>6</v>
      </c>
    </row>
    <row r="98" spans="2:7" x14ac:dyDescent="0.35">
      <c r="B98" s="118" t="s">
        <v>105</v>
      </c>
      <c r="C98" s="106" t="s">
        <v>7</v>
      </c>
      <c r="D98" s="216">
        <v>44170.6</v>
      </c>
      <c r="E98" s="204" t="s">
        <v>123</v>
      </c>
      <c r="F98" s="204" t="s">
        <v>121</v>
      </c>
      <c r="G98" s="204" t="s">
        <v>6</v>
      </c>
    </row>
    <row r="99" spans="2:7" ht="42" x14ac:dyDescent="0.35">
      <c r="B99" s="107" t="s">
        <v>98</v>
      </c>
      <c r="C99" s="108"/>
      <c r="D99" s="217">
        <v>-650.86077600002432</v>
      </c>
      <c r="E99" s="204" t="s">
        <v>99</v>
      </c>
      <c r="F99" s="204" t="s">
        <v>121</v>
      </c>
      <c r="G99" s="204" t="s">
        <v>106</v>
      </c>
    </row>
    <row r="100" spans="2:7" x14ac:dyDescent="0.35">
      <c r="B100" s="109" t="s">
        <v>11</v>
      </c>
      <c r="C100" s="104" t="s">
        <v>5</v>
      </c>
      <c r="D100" s="213">
        <v>43</v>
      </c>
      <c r="E100" s="204" t="s">
        <v>99</v>
      </c>
      <c r="F100" s="204" t="s">
        <v>121</v>
      </c>
      <c r="G100" s="204" t="s">
        <v>106</v>
      </c>
    </row>
    <row r="101" spans="2:7" x14ac:dyDescent="0.35">
      <c r="B101" s="110" t="s">
        <v>48</v>
      </c>
      <c r="C101" s="104" t="s">
        <v>5</v>
      </c>
      <c r="D101" s="213">
        <v>13150</v>
      </c>
      <c r="E101" s="204" t="s">
        <v>99</v>
      </c>
      <c r="F101" s="204" t="s">
        <v>121</v>
      </c>
      <c r="G101" s="204" t="s">
        <v>106</v>
      </c>
    </row>
    <row r="102" spans="2:7" x14ac:dyDescent="0.35">
      <c r="B102" s="110" t="s">
        <v>49</v>
      </c>
      <c r="C102" s="104" t="s">
        <v>5</v>
      </c>
      <c r="D102" s="213">
        <v>13096</v>
      </c>
      <c r="E102" s="204" t="s">
        <v>99</v>
      </c>
      <c r="F102" s="204" t="s">
        <v>121</v>
      </c>
      <c r="G102" s="204" t="s">
        <v>106</v>
      </c>
    </row>
    <row r="103" spans="2:7" x14ac:dyDescent="0.35">
      <c r="B103" s="111" t="s">
        <v>44</v>
      </c>
      <c r="C103" s="104" t="s">
        <v>5</v>
      </c>
      <c r="D103" s="213">
        <v>6</v>
      </c>
      <c r="E103" s="204" t="s">
        <v>99</v>
      </c>
      <c r="F103" s="204" t="s">
        <v>121</v>
      </c>
      <c r="G103" s="204" t="s">
        <v>106</v>
      </c>
    </row>
    <row r="104" spans="2:7" x14ac:dyDescent="0.35">
      <c r="B104" s="111" t="s">
        <v>45</v>
      </c>
      <c r="C104" s="104" t="s">
        <v>5</v>
      </c>
      <c r="D104" s="213">
        <v>60</v>
      </c>
      <c r="E104" s="204" t="s">
        <v>99</v>
      </c>
      <c r="F104" s="204" t="s">
        <v>121</v>
      </c>
      <c r="G104" s="204" t="s">
        <v>106</v>
      </c>
    </row>
    <row r="105" spans="2:7" x14ac:dyDescent="0.35">
      <c r="B105" s="110" t="s">
        <v>42</v>
      </c>
      <c r="C105" s="105" t="s">
        <v>7</v>
      </c>
      <c r="D105" s="213">
        <v>189950.31999999998</v>
      </c>
      <c r="E105" s="204" t="s">
        <v>99</v>
      </c>
      <c r="F105" s="204" t="s">
        <v>121</v>
      </c>
      <c r="G105" s="204" t="s">
        <v>106</v>
      </c>
    </row>
    <row r="106" spans="2:7" x14ac:dyDescent="0.35">
      <c r="B106" s="110" t="s">
        <v>50</v>
      </c>
      <c r="C106" s="105" t="s">
        <v>7</v>
      </c>
      <c r="D106" s="213">
        <v>189546.45999999996</v>
      </c>
      <c r="E106" s="204" t="s">
        <v>99</v>
      </c>
      <c r="F106" s="204" t="s">
        <v>121</v>
      </c>
      <c r="G106" s="204" t="s">
        <v>106</v>
      </c>
    </row>
    <row r="107" spans="2:7" x14ac:dyDescent="0.35">
      <c r="B107" s="112" t="s">
        <v>46</v>
      </c>
      <c r="C107" s="105" t="s">
        <v>7</v>
      </c>
      <c r="D107" s="213">
        <v>175.74</v>
      </c>
      <c r="E107" s="204" t="s">
        <v>99</v>
      </c>
      <c r="F107" s="204" t="s">
        <v>121</v>
      </c>
      <c r="G107" s="204" t="s">
        <v>106</v>
      </c>
    </row>
    <row r="108" spans="2:7" x14ac:dyDescent="0.35">
      <c r="B108" s="112" t="s">
        <v>47</v>
      </c>
      <c r="C108" s="105" t="s">
        <v>7</v>
      </c>
      <c r="D108" s="213">
        <v>579.6</v>
      </c>
      <c r="E108" s="204" t="s">
        <v>99</v>
      </c>
      <c r="F108" s="204" t="s">
        <v>121</v>
      </c>
      <c r="G108" s="204" t="s">
        <v>106</v>
      </c>
    </row>
    <row r="109" spans="2:7" x14ac:dyDescent="0.35">
      <c r="B109" s="110" t="s">
        <v>43</v>
      </c>
      <c r="C109" s="223" t="s">
        <v>8</v>
      </c>
      <c r="D109" s="213">
        <v>1.6115999999999999</v>
      </c>
      <c r="E109" s="204" t="s">
        <v>99</v>
      </c>
      <c r="F109" s="204" t="s">
        <v>121</v>
      </c>
      <c r="G109" s="204" t="s">
        <v>106</v>
      </c>
    </row>
    <row r="110" spans="2:7" ht="42" x14ac:dyDescent="0.35">
      <c r="B110" s="107" t="s">
        <v>98</v>
      </c>
      <c r="C110" s="108"/>
      <c r="D110" s="228">
        <v>-1165.7668399999977</v>
      </c>
      <c r="E110" s="204" t="s">
        <v>122</v>
      </c>
      <c r="F110" s="204" t="s">
        <v>121</v>
      </c>
      <c r="G110" s="204" t="s">
        <v>106</v>
      </c>
    </row>
    <row r="111" spans="2:7" x14ac:dyDescent="0.35">
      <c r="B111" s="109" t="s">
        <v>11</v>
      </c>
      <c r="C111" s="104" t="s">
        <v>5</v>
      </c>
      <c r="D111" s="216">
        <v>13</v>
      </c>
      <c r="E111" s="204" t="s">
        <v>122</v>
      </c>
      <c r="F111" s="204" t="s">
        <v>121</v>
      </c>
      <c r="G111" s="204" t="s">
        <v>106</v>
      </c>
    </row>
    <row r="112" spans="2:7" x14ac:dyDescent="0.35">
      <c r="B112" s="110" t="s">
        <v>48</v>
      </c>
      <c r="C112" s="104" t="s">
        <v>5</v>
      </c>
      <c r="D112" s="216">
        <v>8840</v>
      </c>
      <c r="E112" s="204" t="s">
        <v>122</v>
      </c>
      <c r="F112" s="204" t="s">
        <v>121</v>
      </c>
      <c r="G112" s="204" t="s">
        <v>106</v>
      </c>
    </row>
    <row r="113" spans="2:7" x14ac:dyDescent="0.35">
      <c r="B113" s="110" t="s">
        <v>49</v>
      </c>
      <c r="C113" s="104" t="s">
        <v>5</v>
      </c>
      <c r="D113" s="216">
        <v>8660</v>
      </c>
      <c r="E113" s="204" t="s">
        <v>122</v>
      </c>
      <c r="F113" s="204" t="s">
        <v>121</v>
      </c>
      <c r="G113" s="204" t="s">
        <v>106</v>
      </c>
    </row>
    <row r="114" spans="2:7" x14ac:dyDescent="0.35">
      <c r="B114" s="111" t="s">
        <v>44</v>
      </c>
      <c r="C114" s="104" t="s">
        <v>5</v>
      </c>
      <c r="D114" s="216"/>
      <c r="E114" s="204" t="s">
        <v>122</v>
      </c>
      <c r="F114" s="204" t="s">
        <v>121</v>
      </c>
      <c r="G114" s="204" t="s">
        <v>106</v>
      </c>
    </row>
    <row r="115" spans="2:7" x14ac:dyDescent="0.35">
      <c r="B115" s="111" t="s">
        <v>45</v>
      </c>
      <c r="C115" s="104" t="s">
        <v>5</v>
      </c>
      <c r="D115" s="216">
        <v>180</v>
      </c>
      <c r="E115" s="204" t="s">
        <v>122</v>
      </c>
      <c r="F115" s="204" t="s">
        <v>121</v>
      </c>
      <c r="G115" s="204" t="s">
        <v>106</v>
      </c>
    </row>
    <row r="116" spans="2:7" x14ac:dyDescent="0.35">
      <c r="B116" s="110" t="s">
        <v>42</v>
      </c>
      <c r="C116" s="105" t="s">
        <v>7</v>
      </c>
      <c r="D116" s="216">
        <v>85294.299999999974</v>
      </c>
      <c r="E116" s="204" t="s">
        <v>122</v>
      </c>
      <c r="F116" s="204" t="s">
        <v>121</v>
      </c>
      <c r="G116" s="204" t="s">
        <v>106</v>
      </c>
    </row>
    <row r="117" spans="2:7" x14ac:dyDescent="0.35">
      <c r="B117" s="110" t="s">
        <v>50</v>
      </c>
      <c r="C117" s="105" t="s">
        <v>7</v>
      </c>
      <c r="D117" s="216">
        <v>83890.099999999977</v>
      </c>
      <c r="E117" s="204" t="s">
        <v>122</v>
      </c>
      <c r="F117" s="204" t="s">
        <v>121</v>
      </c>
      <c r="G117" s="204" t="s">
        <v>106</v>
      </c>
    </row>
    <row r="118" spans="2:7" x14ac:dyDescent="0.35">
      <c r="B118" s="112" t="s">
        <v>46</v>
      </c>
      <c r="C118" s="105" t="s">
        <v>7</v>
      </c>
      <c r="D118" s="216">
        <v>0</v>
      </c>
      <c r="E118" s="204" t="s">
        <v>122</v>
      </c>
      <c r="F118" s="204" t="s">
        <v>121</v>
      </c>
      <c r="G118" s="204" t="s">
        <v>106</v>
      </c>
    </row>
    <row r="119" spans="2:7" x14ac:dyDescent="0.35">
      <c r="B119" s="112" t="s">
        <v>47</v>
      </c>
      <c r="C119" s="105" t="s">
        <v>7</v>
      </c>
      <c r="D119" s="216">
        <v>1404.2000000000003</v>
      </c>
      <c r="E119" s="204" t="s">
        <v>122</v>
      </c>
      <c r="F119" s="204" t="s">
        <v>121</v>
      </c>
      <c r="G119" s="204" t="s">
        <v>106</v>
      </c>
    </row>
    <row r="120" spans="2:7" x14ac:dyDescent="0.35">
      <c r="B120" s="110" t="s">
        <v>43</v>
      </c>
      <c r="C120" s="223" t="s">
        <v>8</v>
      </c>
      <c r="D120" s="216">
        <v>0.83020000000000005</v>
      </c>
      <c r="E120" s="204" t="s">
        <v>122</v>
      </c>
      <c r="F120" s="204" t="s">
        <v>121</v>
      </c>
      <c r="G120" s="204" t="s">
        <v>106</v>
      </c>
    </row>
    <row r="121" spans="2:7" ht="42" x14ac:dyDescent="0.35">
      <c r="B121" s="107" t="s">
        <v>98</v>
      </c>
      <c r="C121" s="108"/>
      <c r="D121" s="217">
        <v>0</v>
      </c>
      <c r="E121" s="204" t="s">
        <v>123</v>
      </c>
      <c r="F121" s="204" t="s">
        <v>121</v>
      </c>
      <c r="G121" s="204" t="s">
        <v>106</v>
      </c>
    </row>
    <row r="122" spans="2:7" x14ac:dyDescent="0.35">
      <c r="B122" s="109" t="s">
        <v>11</v>
      </c>
      <c r="C122" s="104" t="s">
        <v>5</v>
      </c>
      <c r="D122" s="213">
        <v>21</v>
      </c>
      <c r="E122" s="204" t="s">
        <v>123</v>
      </c>
      <c r="F122" s="204" t="s">
        <v>121</v>
      </c>
      <c r="G122" s="204" t="s">
        <v>106</v>
      </c>
    </row>
    <row r="123" spans="2:7" x14ac:dyDescent="0.35">
      <c r="B123" s="110" t="s">
        <v>48</v>
      </c>
      <c r="C123" s="104" t="s">
        <v>5</v>
      </c>
      <c r="D123" s="213">
        <v>7840</v>
      </c>
      <c r="E123" s="204" t="s">
        <v>123</v>
      </c>
      <c r="F123" s="204" t="s">
        <v>121</v>
      </c>
      <c r="G123" s="204" t="s">
        <v>106</v>
      </c>
    </row>
    <row r="124" spans="2:7" x14ac:dyDescent="0.35">
      <c r="B124" s="110" t="s">
        <v>49</v>
      </c>
      <c r="C124" s="104" t="s">
        <v>5</v>
      </c>
      <c r="D124" s="213">
        <v>7840</v>
      </c>
      <c r="E124" s="204" t="s">
        <v>123</v>
      </c>
      <c r="F124" s="204" t="s">
        <v>121</v>
      </c>
      <c r="G124" s="204" t="s">
        <v>106</v>
      </c>
    </row>
    <row r="125" spans="2:7" x14ac:dyDescent="0.35">
      <c r="B125" s="111" t="s">
        <v>44</v>
      </c>
      <c r="C125" s="104" t="s">
        <v>5</v>
      </c>
      <c r="D125" s="213"/>
      <c r="E125" s="204" t="s">
        <v>123</v>
      </c>
      <c r="F125" s="204" t="s">
        <v>121</v>
      </c>
      <c r="G125" s="204" t="s">
        <v>106</v>
      </c>
    </row>
    <row r="126" spans="2:7" x14ac:dyDescent="0.35">
      <c r="B126" s="111" t="s">
        <v>45</v>
      </c>
      <c r="C126" s="104" t="s">
        <v>5</v>
      </c>
      <c r="D126" s="213"/>
      <c r="E126" s="204" t="s">
        <v>123</v>
      </c>
      <c r="F126" s="204" t="s">
        <v>121</v>
      </c>
      <c r="G126" s="204" t="s">
        <v>106</v>
      </c>
    </row>
    <row r="127" spans="2:7" x14ac:dyDescent="0.35">
      <c r="B127" s="110" t="s">
        <v>42</v>
      </c>
      <c r="C127" s="105" t="s">
        <v>7</v>
      </c>
      <c r="D127" s="213">
        <v>55825.84</v>
      </c>
      <c r="E127" s="204" t="s">
        <v>123</v>
      </c>
      <c r="F127" s="204" t="s">
        <v>121</v>
      </c>
      <c r="G127" s="204" t="s">
        <v>106</v>
      </c>
    </row>
    <row r="128" spans="2:7" x14ac:dyDescent="0.35">
      <c r="B128" s="110" t="s">
        <v>50</v>
      </c>
      <c r="C128" s="105" t="s">
        <v>7</v>
      </c>
      <c r="D128" s="213">
        <v>55825.84</v>
      </c>
      <c r="E128" s="204" t="s">
        <v>123</v>
      </c>
      <c r="F128" s="204" t="s">
        <v>121</v>
      </c>
      <c r="G128" s="204" t="s">
        <v>106</v>
      </c>
    </row>
    <row r="129" spans="2:7" x14ac:dyDescent="0.35">
      <c r="B129" s="112" t="s">
        <v>46</v>
      </c>
      <c r="C129" s="105" t="s">
        <v>7</v>
      </c>
      <c r="D129" s="213">
        <v>0</v>
      </c>
      <c r="E129" s="204" t="s">
        <v>123</v>
      </c>
      <c r="F129" s="204" t="s">
        <v>121</v>
      </c>
      <c r="G129" s="204" t="s">
        <v>106</v>
      </c>
    </row>
    <row r="130" spans="2:7" x14ac:dyDescent="0.35">
      <c r="B130" s="112" t="s">
        <v>47</v>
      </c>
      <c r="C130" s="105" t="s">
        <v>7</v>
      </c>
      <c r="D130" s="213">
        <v>0</v>
      </c>
      <c r="E130" s="204" t="s">
        <v>123</v>
      </c>
      <c r="F130" s="204" t="s">
        <v>121</v>
      </c>
      <c r="G130" s="204" t="s">
        <v>106</v>
      </c>
    </row>
    <row r="131" spans="2:7" x14ac:dyDescent="0.35">
      <c r="B131" s="110" t="s">
        <v>43</v>
      </c>
      <c r="C131" s="223" t="s">
        <v>8</v>
      </c>
      <c r="D131" s="213">
        <v>3.0741999999999998</v>
      </c>
      <c r="E131" s="204" t="s">
        <v>123</v>
      </c>
      <c r="F131" s="204" t="s">
        <v>121</v>
      </c>
      <c r="G131" s="204" t="s">
        <v>106</v>
      </c>
    </row>
    <row r="132" spans="2:7" ht="56.5" x14ac:dyDescent="0.35">
      <c r="B132" s="113" t="s">
        <v>100</v>
      </c>
      <c r="C132" s="114"/>
      <c r="D132" s="225">
        <v>10.65574</v>
      </c>
      <c r="E132" s="204" t="s">
        <v>99</v>
      </c>
      <c r="F132" s="204" t="s">
        <v>121</v>
      </c>
      <c r="G132" s="204" t="s">
        <v>106</v>
      </c>
    </row>
    <row r="133" spans="2:7" ht="28.5" x14ac:dyDescent="0.35">
      <c r="B133" s="115" t="s">
        <v>39</v>
      </c>
      <c r="C133" s="59"/>
      <c r="D133" s="213"/>
      <c r="E133" s="204" t="s">
        <v>99</v>
      </c>
      <c r="F133" s="204" t="s">
        <v>121</v>
      </c>
      <c r="G133" s="204" t="s">
        <v>106</v>
      </c>
    </row>
    <row r="134" spans="2:7" x14ac:dyDescent="0.35">
      <c r="B134" s="116" t="s">
        <v>61</v>
      </c>
      <c r="C134" s="59" t="s">
        <v>25</v>
      </c>
      <c r="D134" s="213"/>
      <c r="E134" s="204" t="s">
        <v>99</v>
      </c>
      <c r="F134" s="204" t="s">
        <v>121</v>
      </c>
      <c r="G134" s="204" t="s">
        <v>106</v>
      </c>
    </row>
    <row r="135" spans="2:7" x14ac:dyDescent="0.35">
      <c r="B135" s="116" t="s">
        <v>71</v>
      </c>
      <c r="C135" s="59" t="s">
        <v>25</v>
      </c>
      <c r="D135" s="213"/>
      <c r="E135" s="204" t="s">
        <v>99</v>
      </c>
      <c r="F135" s="204" t="s">
        <v>121</v>
      </c>
      <c r="G135" s="204" t="s">
        <v>106</v>
      </c>
    </row>
    <row r="136" spans="2:7" x14ac:dyDescent="0.35">
      <c r="B136" s="116" t="s">
        <v>72</v>
      </c>
      <c r="C136" s="59" t="s">
        <v>59</v>
      </c>
      <c r="D136" s="213">
        <v>1.2644</v>
      </c>
      <c r="E136" s="204" t="s">
        <v>99</v>
      </c>
      <c r="F136" s="204" t="s">
        <v>121</v>
      </c>
      <c r="G136" s="204" t="s">
        <v>106</v>
      </c>
    </row>
    <row r="137" spans="2:7" x14ac:dyDescent="0.35">
      <c r="B137" s="116" t="s">
        <v>12</v>
      </c>
      <c r="C137" s="59" t="s">
        <v>59</v>
      </c>
      <c r="D137" s="213">
        <v>79</v>
      </c>
      <c r="E137" s="204" t="s">
        <v>99</v>
      </c>
      <c r="F137" s="204" t="s">
        <v>121</v>
      </c>
      <c r="G137" s="204" t="s">
        <v>106</v>
      </c>
    </row>
    <row r="138" spans="2:7" x14ac:dyDescent="0.35">
      <c r="B138" s="116" t="s">
        <v>73</v>
      </c>
      <c r="C138" s="59" t="s">
        <v>74</v>
      </c>
      <c r="D138" s="213"/>
      <c r="E138" s="204" t="s">
        <v>99</v>
      </c>
      <c r="F138" s="204" t="s">
        <v>121</v>
      </c>
      <c r="G138" s="204" t="s">
        <v>106</v>
      </c>
    </row>
    <row r="139" spans="2:7" x14ac:dyDescent="0.35">
      <c r="B139" s="116" t="s">
        <v>62</v>
      </c>
      <c r="C139" s="59" t="s">
        <v>60</v>
      </c>
      <c r="D139" s="213"/>
      <c r="E139" s="204" t="s">
        <v>99</v>
      </c>
      <c r="F139" s="204" t="s">
        <v>121</v>
      </c>
      <c r="G139" s="204" t="s">
        <v>106</v>
      </c>
    </row>
    <row r="140" spans="2:7" x14ac:dyDescent="0.35">
      <c r="B140" s="119" t="s">
        <v>75</v>
      </c>
      <c r="C140" s="59"/>
      <c r="D140" s="213"/>
      <c r="E140" s="204" t="s">
        <v>99</v>
      </c>
      <c r="F140" s="204" t="s">
        <v>121</v>
      </c>
      <c r="G140" s="204" t="s">
        <v>106</v>
      </c>
    </row>
    <row r="141" spans="2:7" x14ac:dyDescent="0.35">
      <c r="B141" s="116" t="s">
        <v>76</v>
      </c>
      <c r="C141" s="59" t="s">
        <v>59</v>
      </c>
      <c r="D141" s="213"/>
      <c r="E141" s="204" t="s">
        <v>99</v>
      </c>
      <c r="F141" s="204" t="s">
        <v>121</v>
      </c>
      <c r="G141" s="204" t="s">
        <v>106</v>
      </c>
    </row>
    <row r="142" spans="2:7" ht="28.5" x14ac:dyDescent="0.35">
      <c r="B142" s="115" t="s">
        <v>40</v>
      </c>
      <c r="C142" s="59" t="s">
        <v>26</v>
      </c>
      <c r="D142" s="213"/>
      <c r="E142" s="204" t="s">
        <v>99</v>
      </c>
      <c r="F142" s="204" t="s">
        <v>121</v>
      </c>
      <c r="G142" s="204" t="s">
        <v>106</v>
      </c>
    </row>
    <row r="143" spans="2:7" x14ac:dyDescent="0.35">
      <c r="B143" s="116" t="s">
        <v>57</v>
      </c>
      <c r="C143" s="59" t="s">
        <v>26</v>
      </c>
      <c r="D143" s="213"/>
      <c r="E143" s="204" t="s">
        <v>99</v>
      </c>
      <c r="F143" s="204" t="s">
        <v>121</v>
      </c>
      <c r="G143" s="204" t="s">
        <v>106</v>
      </c>
    </row>
    <row r="144" spans="2:7" x14ac:dyDescent="0.35">
      <c r="B144" s="116" t="s">
        <v>58</v>
      </c>
      <c r="C144" s="59" t="s">
        <v>26</v>
      </c>
      <c r="D144" s="213"/>
      <c r="E144" s="204" t="s">
        <v>99</v>
      </c>
      <c r="F144" s="204" t="s">
        <v>121</v>
      </c>
      <c r="G144" s="204" t="s">
        <v>106</v>
      </c>
    </row>
    <row r="145" spans="2:7" x14ac:dyDescent="0.35">
      <c r="B145" s="116" t="s">
        <v>72</v>
      </c>
      <c r="C145" s="59" t="s">
        <v>26</v>
      </c>
      <c r="D145" s="213">
        <v>4.5</v>
      </c>
      <c r="E145" s="204" t="s">
        <v>99</v>
      </c>
      <c r="F145" s="204" t="s">
        <v>121</v>
      </c>
      <c r="G145" s="204" t="s">
        <v>106</v>
      </c>
    </row>
    <row r="146" spans="2:7" x14ac:dyDescent="0.35">
      <c r="B146" s="116" t="s">
        <v>12</v>
      </c>
      <c r="C146" s="59" t="s">
        <v>26</v>
      </c>
      <c r="D146" s="213">
        <v>6.2859999999999999E-2</v>
      </c>
      <c r="E146" s="204" t="s">
        <v>99</v>
      </c>
      <c r="F146" s="204" t="s">
        <v>121</v>
      </c>
      <c r="G146" s="204" t="s">
        <v>106</v>
      </c>
    </row>
    <row r="147" spans="2:7" x14ac:dyDescent="0.35">
      <c r="B147" s="116" t="s">
        <v>73</v>
      </c>
      <c r="C147" s="59" t="s">
        <v>26</v>
      </c>
      <c r="D147" s="213"/>
      <c r="E147" s="204" t="s">
        <v>99</v>
      </c>
      <c r="F147" s="204" t="s">
        <v>121</v>
      </c>
      <c r="G147" s="204" t="s">
        <v>106</v>
      </c>
    </row>
    <row r="148" spans="2:7" x14ac:dyDescent="0.35">
      <c r="B148" s="116" t="s">
        <v>54</v>
      </c>
      <c r="C148" s="59" t="s">
        <v>26</v>
      </c>
      <c r="D148" s="213"/>
      <c r="E148" s="204" t="s">
        <v>99</v>
      </c>
      <c r="F148" s="204" t="s">
        <v>121</v>
      </c>
      <c r="G148" s="204" t="s">
        <v>106</v>
      </c>
    </row>
    <row r="149" spans="2:7" x14ac:dyDescent="0.35">
      <c r="B149" s="119" t="s">
        <v>75</v>
      </c>
      <c r="C149" s="59" t="s">
        <v>26</v>
      </c>
      <c r="D149" s="213"/>
      <c r="E149" s="204" t="s">
        <v>99</v>
      </c>
      <c r="F149" s="204" t="s">
        <v>121</v>
      </c>
      <c r="G149" s="204" t="s">
        <v>106</v>
      </c>
    </row>
    <row r="150" spans="2:7" x14ac:dyDescent="0.35">
      <c r="B150" s="116" t="s">
        <v>76</v>
      </c>
      <c r="C150" s="59" t="s">
        <v>26</v>
      </c>
      <c r="D150" s="213"/>
      <c r="E150" s="204" t="s">
        <v>99</v>
      </c>
      <c r="F150" s="204" t="s">
        <v>121</v>
      </c>
      <c r="G150" s="204" t="s">
        <v>106</v>
      </c>
    </row>
    <row r="151" spans="2:7" ht="56.5" x14ac:dyDescent="0.35">
      <c r="B151" s="113" t="s">
        <v>100</v>
      </c>
      <c r="C151" s="114"/>
      <c r="D151" s="225">
        <v>7.2198500000000001</v>
      </c>
      <c r="E151" s="204" t="s">
        <v>122</v>
      </c>
      <c r="F151" s="204" t="s">
        <v>121</v>
      </c>
      <c r="G151" s="204" t="s">
        <v>106</v>
      </c>
    </row>
    <row r="152" spans="2:7" ht="28.5" x14ac:dyDescent="0.35">
      <c r="B152" s="115" t="s">
        <v>39</v>
      </c>
      <c r="C152" s="59"/>
      <c r="D152" s="213"/>
      <c r="E152" s="204" t="s">
        <v>122</v>
      </c>
      <c r="F152" s="204" t="s">
        <v>121</v>
      </c>
      <c r="G152" s="204" t="s">
        <v>106</v>
      </c>
    </row>
    <row r="153" spans="2:7" x14ac:dyDescent="0.35">
      <c r="B153" s="116" t="s">
        <v>61</v>
      </c>
      <c r="C153" s="59" t="s">
        <v>25</v>
      </c>
      <c r="D153" s="213"/>
      <c r="E153" s="204" t="s">
        <v>122</v>
      </c>
      <c r="F153" s="204" t="s">
        <v>121</v>
      </c>
      <c r="G153" s="204" t="s">
        <v>106</v>
      </c>
    </row>
    <row r="154" spans="2:7" x14ac:dyDescent="0.35">
      <c r="B154" s="116" t="s">
        <v>71</v>
      </c>
      <c r="C154" s="59" t="s">
        <v>25</v>
      </c>
      <c r="D154" s="213"/>
      <c r="E154" s="204" t="s">
        <v>122</v>
      </c>
      <c r="F154" s="204" t="s">
        <v>121</v>
      </c>
      <c r="G154" s="204" t="s">
        <v>106</v>
      </c>
    </row>
    <row r="155" spans="2:7" x14ac:dyDescent="0.35">
      <c r="B155" s="116" t="s">
        <v>72</v>
      </c>
      <c r="C155" s="59" t="s">
        <v>59</v>
      </c>
      <c r="D155" s="213">
        <v>1.1154999999999999</v>
      </c>
      <c r="E155" s="204" t="s">
        <v>122</v>
      </c>
      <c r="F155" s="204" t="s">
        <v>121</v>
      </c>
      <c r="G155" s="204" t="s">
        <v>106</v>
      </c>
    </row>
    <row r="156" spans="2:7" x14ac:dyDescent="0.35">
      <c r="B156" s="116" t="s">
        <v>12</v>
      </c>
      <c r="C156" s="59" t="s">
        <v>59</v>
      </c>
      <c r="D156" s="213">
        <v>35</v>
      </c>
      <c r="E156" s="204" t="s">
        <v>122</v>
      </c>
      <c r="F156" s="204" t="s">
        <v>121</v>
      </c>
      <c r="G156" s="204" t="s">
        <v>106</v>
      </c>
    </row>
    <row r="157" spans="2:7" x14ac:dyDescent="0.35">
      <c r="B157" s="116" t="s">
        <v>73</v>
      </c>
      <c r="C157" s="59" t="s">
        <v>74</v>
      </c>
      <c r="D157" s="213"/>
      <c r="E157" s="204" t="s">
        <v>122</v>
      </c>
      <c r="F157" s="204" t="s">
        <v>121</v>
      </c>
      <c r="G157" s="204" t="s">
        <v>106</v>
      </c>
    </row>
    <row r="158" spans="2:7" x14ac:dyDescent="0.35">
      <c r="B158" s="116" t="s">
        <v>62</v>
      </c>
      <c r="C158" s="59" t="s">
        <v>60</v>
      </c>
      <c r="D158" s="213"/>
      <c r="E158" s="204" t="s">
        <v>122</v>
      </c>
      <c r="F158" s="204" t="s">
        <v>121</v>
      </c>
      <c r="G158" s="204" t="s">
        <v>106</v>
      </c>
    </row>
    <row r="159" spans="2:7" x14ac:dyDescent="0.35">
      <c r="B159" s="119" t="s">
        <v>75</v>
      </c>
      <c r="C159" s="59"/>
      <c r="D159" s="213"/>
      <c r="E159" s="204" t="s">
        <v>122</v>
      </c>
      <c r="F159" s="204" t="s">
        <v>121</v>
      </c>
      <c r="G159" s="204" t="s">
        <v>106</v>
      </c>
    </row>
    <row r="160" spans="2:7" x14ac:dyDescent="0.35">
      <c r="B160" s="116" t="s">
        <v>76</v>
      </c>
      <c r="C160" s="59" t="s">
        <v>59</v>
      </c>
      <c r="D160" s="213"/>
      <c r="E160" s="204" t="s">
        <v>122</v>
      </c>
      <c r="F160" s="204" t="s">
        <v>121</v>
      </c>
      <c r="G160" s="204" t="s">
        <v>106</v>
      </c>
    </row>
    <row r="161" spans="2:7" ht="28.5" x14ac:dyDescent="0.35">
      <c r="B161" s="115" t="s">
        <v>40</v>
      </c>
      <c r="C161" s="59" t="s">
        <v>26</v>
      </c>
      <c r="D161" s="213"/>
      <c r="E161" s="204" t="s">
        <v>122</v>
      </c>
      <c r="F161" s="204" t="s">
        <v>121</v>
      </c>
      <c r="G161" s="204" t="s">
        <v>106</v>
      </c>
    </row>
    <row r="162" spans="2:7" x14ac:dyDescent="0.35">
      <c r="B162" s="116" t="s">
        <v>57</v>
      </c>
      <c r="C162" s="59" t="s">
        <v>26</v>
      </c>
      <c r="D162" s="213"/>
      <c r="E162" s="204" t="s">
        <v>122</v>
      </c>
      <c r="F162" s="204" t="s">
        <v>121</v>
      </c>
      <c r="G162" s="204" t="s">
        <v>106</v>
      </c>
    </row>
    <row r="163" spans="2:7" x14ac:dyDescent="0.35">
      <c r="B163" s="116" t="s">
        <v>58</v>
      </c>
      <c r="C163" s="59" t="s">
        <v>26</v>
      </c>
      <c r="D163" s="213"/>
      <c r="E163" s="204" t="s">
        <v>122</v>
      </c>
      <c r="F163" s="204" t="s">
        <v>121</v>
      </c>
      <c r="G163" s="204" t="s">
        <v>106</v>
      </c>
    </row>
    <row r="164" spans="2:7" x14ac:dyDescent="0.35">
      <c r="B164" s="116" t="s">
        <v>72</v>
      </c>
      <c r="C164" s="59" t="s">
        <v>26</v>
      </c>
      <c r="D164" s="213">
        <v>4.5</v>
      </c>
      <c r="E164" s="204" t="s">
        <v>122</v>
      </c>
      <c r="F164" s="204" t="s">
        <v>121</v>
      </c>
      <c r="G164" s="204" t="s">
        <v>106</v>
      </c>
    </row>
    <row r="165" spans="2:7" x14ac:dyDescent="0.35">
      <c r="B165" s="116" t="s">
        <v>12</v>
      </c>
      <c r="C165" s="59" t="s">
        <v>26</v>
      </c>
      <c r="D165" s="213">
        <v>6.2859999999999999E-2</v>
      </c>
      <c r="E165" s="204" t="s">
        <v>122</v>
      </c>
      <c r="F165" s="204" t="s">
        <v>121</v>
      </c>
      <c r="G165" s="204" t="s">
        <v>106</v>
      </c>
    </row>
    <row r="166" spans="2:7" x14ac:dyDescent="0.35">
      <c r="B166" s="116" t="s">
        <v>73</v>
      </c>
      <c r="C166" s="59" t="s">
        <v>26</v>
      </c>
      <c r="D166" s="213"/>
      <c r="E166" s="204" t="s">
        <v>122</v>
      </c>
      <c r="F166" s="204" t="s">
        <v>121</v>
      </c>
      <c r="G166" s="204" t="s">
        <v>106</v>
      </c>
    </row>
    <row r="167" spans="2:7" x14ac:dyDescent="0.35">
      <c r="B167" s="116" t="s">
        <v>54</v>
      </c>
      <c r="C167" s="59" t="s">
        <v>26</v>
      </c>
      <c r="D167" s="213"/>
      <c r="E167" s="204" t="s">
        <v>122</v>
      </c>
      <c r="F167" s="204" t="s">
        <v>121</v>
      </c>
      <c r="G167" s="204" t="s">
        <v>106</v>
      </c>
    </row>
    <row r="168" spans="2:7" x14ac:dyDescent="0.35">
      <c r="B168" s="119" t="s">
        <v>75</v>
      </c>
      <c r="C168" s="59" t="s">
        <v>26</v>
      </c>
      <c r="D168" s="213"/>
      <c r="E168" s="204" t="s">
        <v>122</v>
      </c>
      <c r="F168" s="204" t="s">
        <v>121</v>
      </c>
      <c r="G168" s="204" t="s">
        <v>106</v>
      </c>
    </row>
    <row r="169" spans="2:7" x14ac:dyDescent="0.35">
      <c r="B169" s="116" t="s">
        <v>76</v>
      </c>
      <c r="C169" s="59" t="s">
        <v>26</v>
      </c>
      <c r="D169" s="213"/>
      <c r="E169" s="204" t="s">
        <v>122</v>
      </c>
      <c r="F169" s="204" t="s">
        <v>121</v>
      </c>
      <c r="G169" s="204" t="s">
        <v>106</v>
      </c>
    </row>
    <row r="170" spans="2:7" ht="56.5" x14ac:dyDescent="0.35">
      <c r="B170" s="113" t="s">
        <v>100</v>
      </c>
      <c r="C170" s="114"/>
      <c r="D170" s="225">
        <v>133.11000000000001</v>
      </c>
      <c r="E170" s="204" t="s">
        <v>123</v>
      </c>
      <c r="F170" s="204" t="s">
        <v>121</v>
      </c>
      <c r="G170" s="204" t="s">
        <v>106</v>
      </c>
    </row>
    <row r="171" spans="2:7" ht="28.5" x14ac:dyDescent="0.35">
      <c r="B171" s="115" t="s">
        <v>39</v>
      </c>
      <c r="C171" s="59"/>
      <c r="D171" s="213"/>
      <c r="E171" s="204" t="s">
        <v>123</v>
      </c>
      <c r="F171" s="204" t="s">
        <v>121</v>
      </c>
      <c r="G171" s="204" t="s">
        <v>106</v>
      </c>
    </row>
    <row r="172" spans="2:7" x14ac:dyDescent="0.35">
      <c r="B172" s="116" t="s">
        <v>61</v>
      </c>
      <c r="C172" s="59" t="s">
        <v>25</v>
      </c>
      <c r="D172" s="213">
        <v>6</v>
      </c>
      <c r="E172" s="204" t="s">
        <v>123</v>
      </c>
      <c r="F172" s="204" t="s">
        <v>121</v>
      </c>
      <c r="G172" s="204" t="s">
        <v>106</v>
      </c>
    </row>
    <row r="173" spans="2:7" x14ac:dyDescent="0.35">
      <c r="B173" s="116" t="s">
        <v>71</v>
      </c>
      <c r="C173" s="59" t="s">
        <v>25</v>
      </c>
      <c r="D173" s="213">
        <v>5</v>
      </c>
      <c r="E173" s="204" t="s">
        <v>123</v>
      </c>
      <c r="F173" s="204" t="s">
        <v>121</v>
      </c>
      <c r="G173" s="204" t="s">
        <v>106</v>
      </c>
    </row>
    <row r="174" spans="2:7" x14ac:dyDescent="0.35">
      <c r="B174" s="116" t="s">
        <v>72</v>
      </c>
      <c r="C174" s="59" t="s">
        <v>59</v>
      </c>
      <c r="D174" s="213"/>
      <c r="E174" s="204" t="s">
        <v>123</v>
      </c>
      <c r="F174" s="204" t="s">
        <v>121</v>
      </c>
      <c r="G174" s="204" t="s">
        <v>106</v>
      </c>
    </row>
    <row r="175" spans="2:7" x14ac:dyDescent="0.35">
      <c r="B175" s="116" t="s">
        <v>12</v>
      </c>
      <c r="C175" s="59" t="s">
        <v>59</v>
      </c>
      <c r="D175" s="213">
        <v>50</v>
      </c>
      <c r="E175" s="204" t="s">
        <v>123</v>
      </c>
      <c r="F175" s="204" t="s">
        <v>121</v>
      </c>
      <c r="G175" s="204" t="s">
        <v>106</v>
      </c>
    </row>
    <row r="176" spans="2:7" x14ac:dyDescent="0.35">
      <c r="B176" s="116" t="s">
        <v>73</v>
      </c>
      <c r="C176" s="59" t="s">
        <v>74</v>
      </c>
      <c r="D176" s="213">
        <v>27</v>
      </c>
      <c r="E176" s="204" t="s">
        <v>123</v>
      </c>
      <c r="F176" s="204" t="s">
        <v>121</v>
      </c>
      <c r="G176" s="204" t="s">
        <v>106</v>
      </c>
    </row>
    <row r="177" spans="2:7" x14ac:dyDescent="0.35">
      <c r="B177" s="116" t="s">
        <v>62</v>
      </c>
      <c r="C177" s="59" t="s">
        <v>60</v>
      </c>
      <c r="D177" s="213">
        <v>233</v>
      </c>
      <c r="E177" s="204" t="s">
        <v>123</v>
      </c>
      <c r="F177" s="204" t="s">
        <v>121</v>
      </c>
      <c r="G177" s="204" t="s">
        <v>106</v>
      </c>
    </row>
    <row r="178" spans="2:7" x14ac:dyDescent="0.35">
      <c r="B178" s="119" t="s">
        <v>75</v>
      </c>
      <c r="C178" s="59"/>
      <c r="D178" s="213"/>
      <c r="E178" s="204" t="s">
        <v>123</v>
      </c>
      <c r="F178" s="204" t="s">
        <v>121</v>
      </c>
      <c r="G178" s="204" t="s">
        <v>106</v>
      </c>
    </row>
    <row r="179" spans="2:7" x14ac:dyDescent="0.35">
      <c r="B179" s="116" t="s">
        <v>76</v>
      </c>
      <c r="C179" s="59" t="s">
        <v>59</v>
      </c>
      <c r="D179" s="213">
        <v>4</v>
      </c>
      <c r="E179" s="204" t="s">
        <v>123</v>
      </c>
      <c r="F179" s="204" t="s">
        <v>121</v>
      </c>
      <c r="G179" s="204" t="s">
        <v>106</v>
      </c>
    </row>
    <row r="180" spans="2:7" ht="28.5" x14ac:dyDescent="0.35">
      <c r="B180" s="115" t="s">
        <v>40</v>
      </c>
      <c r="C180" s="59" t="s">
        <v>26</v>
      </c>
      <c r="D180" s="213"/>
      <c r="E180" s="204" t="s">
        <v>123</v>
      </c>
      <c r="F180" s="204" t="s">
        <v>121</v>
      </c>
      <c r="G180" s="204" t="s">
        <v>106</v>
      </c>
    </row>
    <row r="181" spans="2:7" x14ac:dyDescent="0.35">
      <c r="B181" s="116" t="s">
        <v>57</v>
      </c>
      <c r="C181" s="59" t="s">
        <v>26</v>
      </c>
      <c r="D181" s="213">
        <v>2.4700000000000002</v>
      </c>
      <c r="E181" s="204" t="s">
        <v>123</v>
      </c>
      <c r="F181" s="204" t="s">
        <v>121</v>
      </c>
      <c r="G181" s="204" t="s">
        <v>106</v>
      </c>
    </row>
    <row r="182" spans="2:7" x14ac:dyDescent="0.35">
      <c r="B182" s="116" t="s">
        <v>58</v>
      </c>
      <c r="C182" s="59" t="s">
        <v>26</v>
      </c>
      <c r="D182" s="213">
        <v>2.86</v>
      </c>
      <c r="E182" s="204" t="s">
        <v>123</v>
      </c>
      <c r="F182" s="204" t="s">
        <v>121</v>
      </c>
      <c r="G182" s="204" t="s">
        <v>106</v>
      </c>
    </row>
    <row r="183" spans="2:7" x14ac:dyDescent="0.35">
      <c r="B183" s="116" t="s">
        <v>72</v>
      </c>
      <c r="C183" s="59" t="s">
        <v>26</v>
      </c>
      <c r="D183" s="213"/>
      <c r="E183" s="204" t="s">
        <v>123</v>
      </c>
      <c r="F183" s="204" t="s">
        <v>121</v>
      </c>
      <c r="G183" s="204" t="s">
        <v>106</v>
      </c>
    </row>
    <row r="184" spans="2:7" x14ac:dyDescent="0.35">
      <c r="B184" s="116" t="s">
        <v>12</v>
      </c>
      <c r="C184" s="59" t="s">
        <v>26</v>
      </c>
      <c r="D184" s="213">
        <v>0.36</v>
      </c>
      <c r="E184" s="204" t="s">
        <v>123</v>
      </c>
      <c r="F184" s="204" t="s">
        <v>121</v>
      </c>
      <c r="G184" s="204" t="s">
        <v>106</v>
      </c>
    </row>
    <row r="185" spans="2:7" x14ac:dyDescent="0.35">
      <c r="B185" s="116" t="s">
        <v>73</v>
      </c>
      <c r="C185" s="59" t="s">
        <v>26</v>
      </c>
      <c r="D185" s="213">
        <v>0.68</v>
      </c>
      <c r="E185" s="204" t="s">
        <v>123</v>
      </c>
      <c r="F185" s="204" t="s">
        <v>121</v>
      </c>
      <c r="G185" s="204" t="s">
        <v>106</v>
      </c>
    </row>
    <row r="186" spans="2:7" x14ac:dyDescent="0.35">
      <c r="B186" s="116" t="s">
        <v>54</v>
      </c>
      <c r="C186" s="59" t="s">
        <v>26</v>
      </c>
      <c r="D186" s="213">
        <v>0.23</v>
      </c>
      <c r="E186" s="204" t="s">
        <v>123</v>
      </c>
      <c r="F186" s="204" t="s">
        <v>121</v>
      </c>
      <c r="G186" s="204" t="s">
        <v>106</v>
      </c>
    </row>
    <row r="187" spans="2:7" x14ac:dyDescent="0.35">
      <c r="B187" s="119" t="s">
        <v>75</v>
      </c>
      <c r="C187" s="59" t="s">
        <v>26</v>
      </c>
      <c r="D187" s="213"/>
      <c r="E187" s="204" t="s">
        <v>123</v>
      </c>
      <c r="F187" s="204" t="s">
        <v>121</v>
      </c>
      <c r="G187" s="204" t="s">
        <v>106</v>
      </c>
    </row>
    <row r="188" spans="2:7" x14ac:dyDescent="0.35">
      <c r="B188" s="116" t="s">
        <v>76</v>
      </c>
      <c r="C188" s="59" t="s">
        <v>26</v>
      </c>
      <c r="D188" s="213">
        <v>3.51</v>
      </c>
      <c r="E188" s="204" t="s">
        <v>123</v>
      </c>
      <c r="F188" s="204" t="s">
        <v>121</v>
      </c>
      <c r="G188" s="204" t="s">
        <v>106</v>
      </c>
    </row>
    <row r="189" spans="2:7" ht="28.5" x14ac:dyDescent="0.35">
      <c r="B189" s="226" t="s">
        <v>101</v>
      </c>
      <c r="C189" s="227"/>
      <c r="D189" s="218">
        <v>45980.561726162974</v>
      </c>
      <c r="E189" s="204" t="s">
        <v>99</v>
      </c>
      <c r="F189" s="204" t="s">
        <v>121</v>
      </c>
      <c r="G189" s="204" t="s">
        <v>106</v>
      </c>
    </row>
    <row r="190" spans="2:7" ht="56.5" x14ac:dyDescent="0.35">
      <c r="B190" s="118" t="s">
        <v>107</v>
      </c>
      <c r="C190" s="106" t="s">
        <v>30</v>
      </c>
      <c r="D190" s="205">
        <v>106290.02</v>
      </c>
      <c r="E190" s="204" t="s">
        <v>99</v>
      </c>
      <c r="F190" s="204" t="s">
        <v>121</v>
      </c>
      <c r="G190" s="204" t="s">
        <v>106</v>
      </c>
    </row>
    <row r="191" spans="2:7" x14ac:dyDescent="0.35">
      <c r="B191" s="118" t="s">
        <v>108</v>
      </c>
      <c r="C191" s="106" t="s">
        <v>7</v>
      </c>
      <c r="D191" s="205">
        <v>189546.45999999996</v>
      </c>
      <c r="E191" s="204" t="s">
        <v>99</v>
      </c>
      <c r="F191" s="204" t="s">
        <v>121</v>
      </c>
      <c r="G191" s="204" t="s">
        <v>106</v>
      </c>
    </row>
    <row r="192" spans="2:7" ht="56.5" x14ac:dyDescent="0.35">
      <c r="B192" s="118" t="s">
        <v>109</v>
      </c>
      <c r="C192" s="106" t="s">
        <v>30</v>
      </c>
      <c r="D192" s="205">
        <v>191644.13</v>
      </c>
      <c r="E192" s="204" t="s">
        <v>99</v>
      </c>
      <c r="F192" s="204" t="s">
        <v>121</v>
      </c>
      <c r="G192" s="204" t="s">
        <v>106</v>
      </c>
    </row>
    <row r="193" spans="2:7" x14ac:dyDescent="0.35">
      <c r="B193" s="118" t="s">
        <v>110</v>
      </c>
      <c r="C193" s="106" t="s">
        <v>7</v>
      </c>
      <c r="D193" s="205">
        <v>238558.66320000004</v>
      </c>
      <c r="E193" s="204" t="s">
        <v>99</v>
      </c>
      <c r="F193" s="204" t="s">
        <v>121</v>
      </c>
      <c r="G193" s="204" t="s">
        <v>106</v>
      </c>
    </row>
    <row r="194" spans="2:7" ht="28.5" x14ac:dyDescent="0.35">
      <c r="B194" s="226" t="s">
        <v>101</v>
      </c>
      <c r="C194" s="227"/>
      <c r="D194" s="218">
        <v>18645.098511471824</v>
      </c>
      <c r="E194" s="204" t="s">
        <v>122</v>
      </c>
      <c r="F194" s="204" t="s">
        <v>121</v>
      </c>
      <c r="G194" s="204" t="s">
        <v>106</v>
      </c>
    </row>
    <row r="195" spans="2:7" ht="56.5" x14ac:dyDescent="0.35">
      <c r="B195" s="118" t="s">
        <v>107</v>
      </c>
      <c r="C195" s="106" t="s">
        <v>30</v>
      </c>
      <c r="D195" s="205">
        <v>42792.34</v>
      </c>
      <c r="E195" s="204" t="s">
        <v>122</v>
      </c>
      <c r="F195" s="204" t="s">
        <v>121</v>
      </c>
      <c r="G195" s="204" t="s">
        <v>106</v>
      </c>
    </row>
    <row r="196" spans="2:7" x14ac:dyDescent="0.35">
      <c r="B196" s="118" t="s">
        <v>108</v>
      </c>
      <c r="C196" s="106" t="s">
        <v>7</v>
      </c>
      <c r="D196" s="205">
        <v>83890.099999999977</v>
      </c>
      <c r="E196" s="204" t="s">
        <v>122</v>
      </c>
      <c r="F196" s="204" t="s">
        <v>121</v>
      </c>
      <c r="G196" s="204" t="s">
        <v>106</v>
      </c>
    </row>
    <row r="197" spans="2:7" ht="56.5" x14ac:dyDescent="0.35">
      <c r="B197" s="118" t="s">
        <v>109</v>
      </c>
      <c r="C197" s="106" t="s">
        <v>30</v>
      </c>
      <c r="D197" s="205">
        <v>61663.18</v>
      </c>
      <c r="E197" s="204" t="s">
        <v>122</v>
      </c>
      <c r="F197" s="204" t="s">
        <v>121</v>
      </c>
      <c r="G197" s="204" t="s">
        <v>106</v>
      </c>
    </row>
    <row r="198" spans="2:7" x14ac:dyDescent="0.35">
      <c r="B198" s="118" t="s">
        <v>110</v>
      </c>
      <c r="C198" s="106" t="s">
        <v>7</v>
      </c>
      <c r="D198" s="205">
        <v>84198.34</v>
      </c>
      <c r="E198" s="204" t="s">
        <v>122</v>
      </c>
      <c r="F198" s="204" t="s">
        <v>121</v>
      </c>
      <c r="G198" s="204" t="s">
        <v>106</v>
      </c>
    </row>
    <row r="199" spans="2:7" ht="28.5" x14ac:dyDescent="0.35">
      <c r="B199" s="226" t="s">
        <v>101</v>
      </c>
      <c r="C199" s="227"/>
      <c r="D199" s="218">
        <v>14026.174224572578</v>
      </c>
      <c r="E199" s="204" t="s">
        <v>123</v>
      </c>
      <c r="F199" s="204" t="s">
        <v>121</v>
      </c>
      <c r="G199" s="204" t="s">
        <v>106</v>
      </c>
    </row>
    <row r="200" spans="2:7" ht="56.5" x14ac:dyDescent="0.35">
      <c r="B200" s="118" t="s">
        <v>107</v>
      </c>
      <c r="C200" s="106" t="s">
        <v>30</v>
      </c>
      <c r="D200" s="205">
        <v>34312.14</v>
      </c>
      <c r="E200" s="204" t="s">
        <v>123</v>
      </c>
      <c r="F200" s="204" t="s">
        <v>121</v>
      </c>
      <c r="G200" s="204" t="s">
        <v>106</v>
      </c>
    </row>
    <row r="201" spans="2:7" x14ac:dyDescent="0.35">
      <c r="B201" s="118" t="s">
        <v>108</v>
      </c>
      <c r="C201" s="106" t="s">
        <v>7</v>
      </c>
      <c r="D201" s="205">
        <v>55825.84</v>
      </c>
      <c r="E201" s="204" t="s">
        <v>123</v>
      </c>
      <c r="F201" s="204" t="s">
        <v>121</v>
      </c>
      <c r="G201" s="204" t="s">
        <v>106</v>
      </c>
    </row>
    <row r="202" spans="2:7" ht="56.5" x14ac:dyDescent="0.35">
      <c r="B202" s="118" t="s">
        <v>109</v>
      </c>
      <c r="C202" s="106" t="s">
        <v>30</v>
      </c>
      <c r="D202" s="205">
        <v>50074.54</v>
      </c>
      <c r="E202" s="204" t="s">
        <v>123</v>
      </c>
      <c r="F202" s="204" t="s">
        <v>121</v>
      </c>
      <c r="G202" s="204" t="s">
        <v>106</v>
      </c>
    </row>
    <row r="203" spans="2:7" x14ac:dyDescent="0.35">
      <c r="B203" s="118" t="s">
        <v>110</v>
      </c>
      <c r="C203" s="106" t="s">
        <v>7</v>
      </c>
      <c r="D203" s="205">
        <v>57831.004306983945</v>
      </c>
      <c r="E203" s="204" t="s">
        <v>123</v>
      </c>
      <c r="F203" s="204" t="s">
        <v>121</v>
      </c>
      <c r="G203" s="204" t="s">
        <v>106</v>
      </c>
    </row>
    <row r="204" spans="2:7" ht="42" x14ac:dyDescent="0.35">
      <c r="B204" s="107" t="s">
        <v>98</v>
      </c>
      <c r="C204" s="108"/>
      <c r="D204" s="218">
        <v>-943.53084000000945</v>
      </c>
      <c r="E204" s="204" t="s">
        <v>99</v>
      </c>
      <c r="F204" s="204" t="s">
        <v>121</v>
      </c>
      <c r="G204" s="204" t="s">
        <v>111</v>
      </c>
    </row>
    <row r="205" spans="2:7" x14ac:dyDescent="0.35">
      <c r="B205" s="109" t="s">
        <v>11</v>
      </c>
      <c r="C205" s="104" t="s">
        <v>5</v>
      </c>
      <c r="D205" s="205">
        <v>43</v>
      </c>
      <c r="E205" s="204" t="s">
        <v>99</v>
      </c>
      <c r="F205" s="204" t="s">
        <v>121</v>
      </c>
      <c r="G205" s="204" t="s">
        <v>111</v>
      </c>
    </row>
    <row r="206" spans="2:7" x14ac:dyDescent="0.35">
      <c r="B206" s="110" t="s">
        <v>48</v>
      </c>
      <c r="C206" s="104" t="s">
        <v>5</v>
      </c>
      <c r="D206" s="205">
        <v>13585</v>
      </c>
      <c r="E206" s="204" t="s">
        <v>99</v>
      </c>
      <c r="F206" s="204" t="s">
        <v>121</v>
      </c>
      <c r="G206" s="204" t="s">
        <v>111</v>
      </c>
    </row>
    <row r="207" spans="2:7" x14ac:dyDescent="0.35">
      <c r="B207" s="110" t="s">
        <v>49</v>
      </c>
      <c r="C207" s="104" t="s">
        <v>5</v>
      </c>
      <c r="D207" s="205">
        <v>13525</v>
      </c>
      <c r="E207" s="204" t="s">
        <v>99</v>
      </c>
      <c r="F207" s="204" t="s">
        <v>121</v>
      </c>
      <c r="G207" s="204" t="s">
        <v>111</v>
      </c>
    </row>
    <row r="208" spans="2:7" x14ac:dyDescent="0.35">
      <c r="B208" s="111" t="s">
        <v>44</v>
      </c>
      <c r="C208" s="104" t="s">
        <v>5</v>
      </c>
      <c r="D208" s="205">
        <v>0</v>
      </c>
      <c r="E208" s="204" t="s">
        <v>99</v>
      </c>
      <c r="F208" s="204" t="s">
        <v>121</v>
      </c>
      <c r="G208" s="204" t="s">
        <v>111</v>
      </c>
    </row>
    <row r="209" spans="2:7" x14ac:dyDescent="0.35">
      <c r="B209" s="111" t="s">
        <v>45</v>
      </c>
      <c r="C209" s="104" t="s">
        <v>5</v>
      </c>
      <c r="D209" s="205">
        <v>60</v>
      </c>
      <c r="E209" s="204" t="s">
        <v>99</v>
      </c>
      <c r="F209" s="204" t="s">
        <v>121</v>
      </c>
      <c r="G209" s="204" t="s">
        <v>111</v>
      </c>
    </row>
    <row r="210" spans="2:7" x14ac:dyDescent="0.35">
      <c r="B210" s="110" t="s">
        <v>42</v>
      </c>
      <c r="C210" s="105" t="s">
        <v>7</v>
      </c>
      <c r="D210" s="205">
        <v>197049.46</v>
      </c>
      <c r="E210" s="204" t="s">
        <v>99</v>
      </c>
      <c r="F210" s="204" t="s">
        <v>121</v>
      </c>
      <c r="G210" s="204" t="s">
        <v>111</v>
      </c>
    </row>
    <row r="211" spans="2:7" x14ac:dyDescent="0.35">
      <c r="B211" s="110" t="s">
        <v>50</v>
      </c>
      <c r="C211" s="105" t="s">
        <v>7</v>
      </c>
      <c r="D211" s="205">
        <v>196469.86</v>
      </c>
      <c r="E211" s="204" t="s">
        <v>99</v>
      </c>
      <c r="F211" s="204" t="s">
        <v>121</v>
      </c>
      <c r="G211" s="204" t="s">
        <v>111</v>
      </c>
    </row>
    <row r="212" spans="2:7" x14ac:dyDescent="0.35">
      <c r="B212" s="112" t="s">
        <v>46</v>
      </c>
      <c r="C212" s="105" t="s">
        <v>7</v>
      </c>
      <c r="D212" s="205">
        <v>0</v>
      </c>
      <c r="E212" s="204" t="s">
        <v>99</v>
      </c>
      <c r="F212" s="204" t="s">
        <v>121</v>
      </c>
      <c r="G212" s="204" t="s">
        <v>111</v>
      </c>
    </row>
    <row r="213" spans="2:7" x14ac:dyDescent="0.35">
      <c r="B213" s="112" t="s">
        <v>47</v>
      </c>
      <c r="C213" s="105" t="s">
        <v>7</v>
      </c>
      <c r="D213" s="205">
        <v>579.6</v>
      </c>
      <c r="E213" s="204" t="s">
        <v>99</v>
      </c>
      <c r="F213" s="204" t="s">
        <v>121</v>
      </c>
      <c r="G213" s="204" t="s">
        <v>111</v>
      </c>
    </row>
    <row r="214" spans="2:7" x14ac:dyDescent="0.35">
      <c r="B214" s="110" t="s">
        <v>43</v>
      </c>
      <c r="C214" s="223" t="s">
        <v>8</v>
      </c>
      <c r="D214" s="205">
        <v>1.6278999999999999</v>
      </c>
      <c r="E214" s="204" t="s">
        <v>99</v>
      </c>
      <c r="F214" s="204" t="s">
        <v>121</v>
      </c>
      <c r="G214" s="204" t="s">
        <v>111</v>
      </c>
    </row>
    <row r="215" spans="2:7" ht="42" x14ac:dyDescent="0.35">
      <c r="B215" s="107" t="s">
        <v>98</v>
      </c>
      <c r="C215" s="108"/>
      <c r="D215" s="218">
        <v>-1180.2300999999975</v>
      </c>
      <c r="E215" s="204" t="s">
        <v>122</v>
      </c>
      <c r="F215" s="204" t="s">
        <v>121</v>
      </c>
      <c r="G215" s="204" t="s">
        <v>111</v>
      </c>
    </row>
    <row r="216" spans="2:7" x14ac:dyDescent="0.35">
      <c r="B216" s="109" t="s">
        <v>11</v>
      </c>
      <c r="C216" s="104" t="s">
        <v>5</v>
      </c>
      <c r="D216" s="205">
        <v>13</v>
      </c>
      <c r="E216" s="204" t="s">
        <v>122</v>
      </c>
      <c r="F216" s="204" t="s">
        <v>121</v>
      </c>
      <c r="G216" s="204" t="s">
        <v>111</v>
      </c>
    </row>
    <row r="217" spans="2:7" x14ac:dyDescent="0.35">
      <c r="B217" s="110" t="s">
        <v>48</v>
      </c>
      <c r="C217" s="104" t="s">
        <v>5</v>
      </c>
      <c r="D217" s="205">
        <v>9102</v>
      </c>
      <c r="E217" s="204" t="s">
        <v>122</v>
      </c>
      <c r="F217" s="204" t="s">
        <v>121</v>
      </c>
      <c r="G217" s="204" t="s">
        <v>111</v>
      </c>
    </row>
    <row r="218" spans="2:7" x14ac:dyDescent="0.35">
      <c r="B218" s="110" t="s">
        <v>49</v>
      </c>
      <c r="C218" s="104" t="s">
        <v>5</v>
      </c>
      <c r="D218" s="205">
        <v>8922</v>
      </c>
      <c r="E218" s="204" t="s">
        <v>122</v>
      </c>
      <c r="F218" s="204" t="s">
        <v>121</v>
      </c>
      <c r="G218" s="204" t="s">
        <v>111</v>
      </c>
    </row>
    <row r="219" spans="2:7" x14ac:dyDescent="0.35">
      <c r="B219" s="111" t="s">
        <v>44</v>
      </c>
      <c r="C219" s="104" t="s">
        <v>5</v>
      </c>
      <c r="D219" s="205">
        <v>0</v>
      </c>
      <c r="E219" s="204" t="s">
        <v>122</v>
      </c>
      <c r="F219" s="204" t="s">
        <v>121</v>
      </c>
      <c r="G219" s="204" t="s">
        <v>111</v>
      </c>
    </row>
    <row r="220" spans="2:7" x14ac:dyDescent="0.35">
      <c r="B220" s="111" t="s">
        <v>45</v>
      </c>
      <c r="C220" s="104" t="s">
        <v>5</v>
      </c>
      <c r="D220" s="205">
        <v>180</v>
      </c>
      <c r="E220" s="204" t="s">
        <v>122</v>
      </c>
      <c r="F220" s="204" t="s">
        <v>121</v>
      </c>
      <c r="G220" s="204" t="s">
        <v>111</v>
      </c>
    </row>
    <row r="221" spans="2:7" x14ac:dyDescent="0.35">
      <c r="B221" s="110" t="s">
        <v>42</v>
      </c>
      <c r="C221" s="105" t="s">
        <v>7</v>
      </c>
      <c r="D221" s="205">
        <v>87623.539999999979</v>
      </c>
      <c r="E221" s="204" t="s">
        <v>122</v>
      </c>
      <c r="F221" s="204" t="s">
        <v>121</v>
      </c>
      <c r="G221" s="204" t="s">
        <v>111</v>
      </c>
    </row>
    <row r="222" spans="2:7" x14ac:dyDescent="0.35">
      <c r="B222" s="110" t="s">
        <v>50</v>
      </c>
      <c r="C222" s="105" t="s">
        <v>7</v>
      </c>
      <c r="D222" s="205">
        <v>86219.339999999982</v>
      </c>
      <c r="E222" s="204" t="s">
        <v>122</v>
      </c>
      <c r="F222" s="204" t="s">
        <v>121</v>
      </c>
      <c r="G222" s="204" t="s">
        <v>111</v>
      </c>
    </row>
    <row r="223" spans="2:7" x14ac:dyDescent="0.35">
      <c r="B223" s="112" t="s">
        <v>46</v>
      </c>
      <c r="C223" s="105" t="s">
        <v>7</v>
      </c>
      <c r="D223" s="205">
        <v>0</v>
      </c>
      <c r="E223" s="204" t="s">
        <v>122</v>
      </c>
      <c r="F223" s="204" t="s">
        <v>121</v>
      </c>
      <c r="G223" s="204" t="s">
        <v>111</v>
      </c>
    </row>
    <row r="224" spans="2:7" x14ac:dyDescent="0.35">
      <c r="B224" s="112" t="s">
        <v>47</v>
      </c>
      <c r="C224" s="105" t="s">
        <v>7</v>
      </c>
      <c r="D224" s="205">
        <v>1404.2000000000003</v>
      </c>
      <c r="E224" s="204" t="s">
        <v>122</v>
      </c>
      <c r="F224" s="204" t="s">
        <v>121</v>
      </c>
      <c r="G224" s="204" t="s">
        <v>111</v>
      </c>
    </row>
    <row r="225" spans="2:7" x14ac:dyDescent="0.35">
      <c r="B225" s="110" t="s">
        <v>43</v>
      </c>
      <c r="C225" s="223" t="s">
        <v>8</v>
      </c>
      <c r="D225" s="205">
        <v>0.84050000000000002</v>
      </c>
      <c r="E225" s="204" t="s">
        <v>122</v>
      </c>
      <c r="F225" s="204" t="s">
        <v>121</v>
      </c>
      <c r="G225" s="204" t="s">
        <v>111</v>
      </c>
    </row>
    <row r="226" spans="2:7" ht="42" x14ac:dyDescent="0.35">
      <c r="B226" s="107" t="s">
        <v>98</v>
      </c>
      <c r="C226" s="108"/>
      <c r="D226" s="218">
        <v>0</v>
      </c>
      <c r="E226" s="204" t="s">
        <v>123</v>
      </c>
      <c r="F226" s="204" t="s">
        <v>121</v>
      </c>
      <c r="G226" s="204" t="s">
        <v>111</v>
      </c>
    </row>
    <row r="227" spans="2:7" x14ac:dyDescent="0.35">
      <c r="B227" s="109" t="s">
        <v>11</v>
      </c>
      <c r="C227" s="104" t="s">
        <v>5</v>
      </c>
      <c r="D227" s="205">
        <v>21</v>
      </c>
      <c r="E227" s="204" t="s">
        <v>123</v>
      </c>
      <c r="F227" s="204" t="s">
        <v>121</v>
      </c>
      <c r="G227" s="204" t="s">
        <v>111</v>
      </c>
    </row>
    <row r="228" spans="2:7" x14ac:dyDescent="0.35">
      <c r="B228" s="110" t="s">
        <v>48</v>
      </c>
      <c r="C228" s="104" t="s">
        <v>5</v>
      </c>
      <c r="D228" s="205">
        <v>8072</v>
      </c>
      <c r="E228" s="204" t="s">
        <v>123</v>
      </c>
      <c r="F228" s="204" t="s">
        <v>121</v>
      </c>
      <c r="G228" s="204" t="s">
        <v>111</v>
      </c>
    </row>
    <row r="229" spans="2:7" x14ac:dyDescent="0.35">
      <c r="B229" s="110" t="s">
        <v>49</v>
      </c>
      <c r="C229" s="104" t="s">
        <v>5</v>
      </c>
      <c r="D229" s="205">
        <v>8072</v>
      </c>
      <c r="E229" s="204" t="s">
        <v>123</v>
      </c>
      <c r="F229" s="204" t="s">
        <v>121</v>
      </c>
      <c r="G229" s="204" t="s">
        <v>111</v>
      </c>
    </row>
    <row r="230" spans="2:7" x14ac:dyDescent="0.35">
      <c r="B230" s="111" t="s">
        <v>44</v>
      </c>
      <c r="C230" s="104" t="s">
        <v>5</v>
      </c>
      <c r="D230" s="205">
        <v>0</v>
      </c>
      <c r="E230" s="204" t="s">
        <v>123</v>
      </c>
      <c r="F230" s="204" t="s">
        <v>121</v>
      </c>
      <c r="G230" s="204" t="s">
        <v>111</v>
      </c>
    </row>
    <row r="231" spans="2:7" x14ac:dyDescent="0.35">
      <c r="B231" s="111" t="s">
        <v>45</v>
      </c>
      <c r="C231" s="104" t="s">
        <v>5</v>
      </c>
      <c r="D231" s="205">
        <v>0</v>
      </c>
      <c r="E231" s="204" t="s">
        <v>123</v>
      </c>
      <c r="F231" s="204" t="s">
        <v>121</v>
      </c>
      <c r="G231" s="204" t="s">
        <v>111</v>
      </c>
    </row>
    <row r="232" spans="2:7" x14ac:dyDescent="0.35">
      <c r="B232" s="110" t="s">
        <v>42</v>
      </c>
      <c r="C232" s="105" t="s">
        <v>7</v>
      </c>
      <c r="D232" s="205">
        <v>57478.28</v>
      </c>
      <c r="E232" s="204" t="s">
        <v>123</v>
      </c>
      <c r="F232" s="204" t="s">
        <v>121</v>
      </c>
      <c r="G232" s="204" t="s">
        <v>111</v>
      </c>
    </row>
    <row r="233" spans="2:7" x14ac:dyDescent="0.35">
      <c r="B233" s="110" t="s">
        <v>50</v>
      </c>
      <c r="C233" s="105" t="s">
        <v>7</v>
      </c>
      <c r="D233" s="205">
        <v>57478.28</v>
      </c>
      <c r="E233" s="204" t="s">
        <v>123</v>
      </c>
      <c r="F233" s="204" t="s">
        <v>121</v>
      </c>
      <c r="G233" s="204" t="s">
        <v>111</v>
      </c>
    </row>
    <row r="234" spans="2:7" x14ac:dyDescent="0.35">
      <c r="B234" s="112" t="s">
        <v>46</v>
      </c>
      <c r="C234" s="105" t="s">
        <v>7</v>
      </c>
      <c r="D234" s="205">
        <v>0</v>
      </c>
      <c r="E234" s="204" t="s">
        <v>123</v>
      </c>
      <c r="F234" s="204" t="s">
        <v>121</v>
      </c>
      <c r="G234" s="204" t="s">
        <v>111</v>
      </c>
    </row>
    <row r="235" spans="2:7" x14ac:dyDescent="0.35">
      <c r="B235" s="112" t="s">
        <v>47</v>
      </c>
      <c r="C235" s="105" t="s">
        <v>7</v>
      </c>
      <c r="D235" s="205">
        <v>0</v>
      </c>
      <c r="E235" s="204" t="s">
        <v>123</v>
      </c>
      <c r="F235" s="204" t="s">
        <v>121</v>
      </c>
      <c r="G235" s="204" t="s">
        <v>111</v>
      </c>
    </row>
    <row r="236" spans="2:7" x14ac:dyDescent="0.35">
      <c r="B236" s="110" t="s">
        <v>43</v>
      </c>
      <c r="C236" s="223" t="s">
        <v>8</v>
      </c>
      <c r="D236" s="205">
        <v>3.0813999999999999</v>
      </c>
      <c r="E236" s="204" t="s">
        <v>123</v>
      </c>
      <c r="F236" s="204" t="s">
        <v>121</v>
      </c>
      <c r="G236" s="204" t="s">
        <v>111</v>
      </c>
    </row>
    <row r="237" spans="2:7" ht="56.5" x14ac:dyDescent="0.35">
      <c r="B237" s="113" t="s">
        <v>100</v>
      </c>
      <c r="C237" s="114"/>
      <c r="D237" s="218">
        <v>0</v>
      </c>
      <c r="E237" s="204" t="s">
        <v>99</v>
      </c>
      <c r="F237" s="204" t="s">
        <v>121</v>
      </c>
      <c r="G237" s="204" t="s">
        <v>111</v>
      </c>
    </row>
    <row r="238" spans="2:7" ht="28.5" x14ac:dyDescent="0.35">
      <c r="B238" s="115" t="s">
        <v>39</v>
      </c>
      <c r="C238" s="59"/>
      <c r="D238" s="205">
        <v>0</v>
      </c>
      <c r="E238" s="204" t="s">
        <v>99</v>
      </c>
      <c r="F238" s="204" t="s">
        <v>121</v>
      </c>
      <c r="G238" s="204" t="s">
        <v>111</v>
      </c>
    </row>
    <row r="239" spans="2:7" x14ac:dyDescent="0.35">
      <c r="B239" s="116" t="s">
        <v>61</v>
      </c>
      <c r="C239" s="59" t="s">
        <v>25</v>
      </c>
      <c r="D239" s="205">
        <v>0</v>
      </c>
      <c r="E239" s="204" t="s">
        <v>99</v>
      </c>
      <c r="F239" s="204" t="s">
        <v>121</v>
      </c>
      <c r="G239" s="204" t="s">
        <v>111</v>
      </c>
    </row>
    <row r="240" spans="2:7" x14ac:dyDescent="0.35">
      <c r="B240" s="116" t="s">
        <v>71</v>
      </c>
      <c r="C240" s="59" t="s">
        <v>25</v>
      </c>
      <c r="D240" s="205">
        <v>0</v>
      </c>
      <c r="E240" s="204" t="s">
        <v>99</v>
      </c>
      <c r="F240" s="204" t="s">
        <v>121</v>
      </c>
      <c r="G240" s="204" t="s">
        <v>111</v>
      </c>
    </row>
    <row r="241" spans="2:7" x14ac:dyDescent="0.35">
      <c r="B241" s="116" t="s">
        <v>80</v>
      </c>
      <c r="C241" s="59" t="s">
        <v>25</v>
      </c>
      <c r="D241" s="205">
        <v>0</v>
      </c>
      <c r="E241" s="204" t="s">
        <v>99</v>
      </c>
      <c r="F241" s="204" t="s">
        <v>121</v>
      </c>
      <c r="G241" s="204" t="s">
        <v>111</v>
      </c>
    </row>
    <row r="242" spans="2:7" x14ac:dyDescent="0.35">
      <c r="B242" s="116" t="s">
        <v>80</v>
      </c>
      <c r="C242" s="59" t="s">
        <v>25</v>
      </c>
      <c r="D242" s="205">
        <v>0</v>
      </c>
      <c r="E242" s="204" t="s">
        <v>99</v>
      </c>
      <c r="F242" s="204" t="s">
        <v>121</v>
      </c>
      <c r="G242" s="204" t="s">
        <v>111</v>
      </c>
    </row>
    <row r="243" spans="2:7" x14ac:dyDescent="0.35">
      <c r="B243" s="116" t="s">
        <v>12</v>
      </c>
      <c r="C243" s="59" t="s">
        <v>59</v>
      </c>
      <c r="D243" s="205">
        <v>0</v>
      </c>
      <c r="E243" s="204" t="s">
        <v>99</v>
      </c>
      <c r="F243" s="204" t="s">
        <v>121</v>
      </c>
      <c r="G243" s="204" t="s">
        <v>111</v>
      </c>
    </row>
    <row r="244" spans="2:7" x14ac:dyDescent="0.35">
      <c r="B244" s="116" t="s">
        <v>81</v>
      </c>
      <c r="C244" s="59" t="s">
        <v>74</v>
      </c>
      <c r="D244" s="205">
        <v>0</v>
      </c>
      <c r="E244" s="204" t="s">
        <v>99</v>
      </c>
      <c r="F244" s="204" t="s">
        <v>121</v>
      </c>
      <c r="G244" s="204" t="s">
        <v>111</v>
      </c>
    </row>
    <row r="245" spans="2:7" x14ac:dyDescent="0.35">
      <c r="B245" s="116" t="s">
        <v>73</v>
      </c>
      <c r="C245" s="59" t="s">
        <v>59</v>
      </c>
      <c r="D245" s="205">
        <v>0</v>
      </c>
      <c r="E245" s="204" t="s">
        <v>99</v>
      </c>
      <c r="F245" s="204" t="s">
        <v>121</v>
      </c>
      <c r="G245" s="204" t="s">
        <v>111</v>
      </c>
    </row>
    <row r="246" spans="2:7" x14ac:dyDescent="0.35">
      <c r="B246" s="116" t="s">
        <v>62</v>
      </c>
      <c r="C246" s="59" t="s">
        <v>60</v>
      </c>
      <c r="D246" s="205">
        <v>0</v>
      </c>
      <c r="E246" s="204" t="s">
        <v>99</v>
      </c>
      <c r="F246" s="204" t="s">
        <v>121</v>
      </c>
      <c r="G246" s="204" t="s">
        <v>111</v>
      </c>
    </row>
    <row r="247" spans="2:7" x14ac:dyDescent="0.35">
      <c r="B247" s="116" t="s">
        <v>62</v>
      </c>
      <c r="C247" s="59" t="s">
        <v>60</v>
      </c>
      <c r="D247" s="205">
        <v>0</v>
      </c>
      <c r="E247" s="204" t="s">
        <v>99</v>
      </c>
      <c r="F247" s="204" t="s">
        <v>121</v>
      </c>
      <c r="G247" s="204" t="s">
        <v>111</v>
      </c>
    </row>
    <row r="248" spans="2:7" ht="28.5" x14ac:dyDescent="0.35">
      <c r="B248" s="115" t="s">
        <v>40</v>
      </c>
      <c r="C248" s="59" t="s">
        <v>26</v>
      </c>
      <c r="D248" s="205">
        <v>0</v>
      </c>
      <c r="E248" s="204" t="s">
        <v>99</v>
      </c>
      <c r="F248" s="204" t="s">
        <v>121</v>
      </c>
      <c r="G248" s="204" t="s">
        <v>111</v>
      </c>
    </row>
    <row r="249" spans="2:7" x14ac:dyDescent="0.35">
      <c r="B249" s="116" t="s">
        <v>57</v>
      </c>
      <c r="C249" s="59" t="s">
        <v>26</v>
      </c>
      <c r="D249" s="205">
        <v>0</v>
      </c>
      <c r="E249" s="204" t="s">
        <v>99</v>
      </c>
      <c r="F249" s="204" t="s">
        <v>121</v>
      </c>
      <c r="G249" s="204" t="s">
        <v>111</v>
      </c>
    </row>
    <row r="250" spans="2:7" x14ac:dyDescent="0.35">
      <c r="B250" s="116" t="s">
        <v>58</v>
      </c>
      <c r="C250" s="59" t="s">
        <v>26</v>
      </c>
      <c r="D250" s="205">
        <v>0</v>
      </c>
      <c r="E250" s="204" t="s">
        <v>99</v>
      </c>
      <c r="F250" s="204" t="s">
        <v>121</v>
      </c>
      <c r="G250" s="204" t="s">
        <v>111</v>
      </c>
    </row>
    <row r="251" spans="2:7" x14ac:dyDescent="0.35">
      <c r="B251" s="116" t="s">
        <v>82</v>
      </c>
      <c r="C251" s="59" t="s">
        <v>26</v>
      </c>
      <c r="D251" s="205">
        <v>0</v>
      </c>
      <c r="E251" s="204" t="s">
        <v>99</v>
      </c>
      <c r="F251" s="204" t="s">
        <v>121</v>
      </c>
      <c r="G251" s="204" t="s">
        <v>111</v>
      </c>
    </row>
    <row r="252" spans="2:7" x14ac:dyDescent="0.35">
      <c r="B252" s="116" t="s">
        <v>82</v>
      </c>
      <c r="C252" s="59" t="s">
        <v>26</v>
      </c>
      <c r="D252" s="205">
        <v>0</v>
      </c>
      <c r="E252" s="204" t="s">
        <v>99</v>
      </c>
      <c r="F252" s="204" t="s">
        <v>121</v>
      </c>
      <c r="G252" s="204" t="s">
        <v>111</v>
      </c>
    </row>
    <row r="253" spans="2:7" x14ac:dyDescent="0.35">
      <c r="B253" s="116" t="s">
        <v>83</v>
      </c>
      <c r="C253" s="59" t="s">
        <v>26</v>
      </c>
      <c r="D253" s="205">
        <v>0</v>
      </c>
      <c r="E253" s="204" t="s">
        <v>99</v>
      </c>
      <c r="F253" s="204" t="s">
        <v>121</v>
      </c>
      <c r="G253" s="204" t="s">
        <v>111</v>
      </c>
    </row>
    <row r="254" spans="2:7" x14ac:dyDescent="0.35">
      <c r="B254" s="116" t="s">
        <v>84</v>
      </c>
      <c r="C254" s="59" t="s">
        <v>26</v>
      </c>
      <c r="D254" s="205">
        <v>0</v>
      </c>
      <c r="E254" s="204" t="s">
        <v>99</v>
      </c>
      <c r="F254" s="204" t="s">
        <v>121</v>
      </c>
      <c r="G254" s="204" t="s">
        <v>111</v>
      </c>
    </row>
    <row r="255" spans="2:7" x14ac:dyDescent="0.35">
      <c r="B255" s="116" t="s">
        <v>85</v>
      </c>
      <c r="C255" s="59" t="s">
        <v>26</v>
      </c>
      <c r="D255" s="205">
        <v>0</v>
      </c>
      <c r="E255" s="204" t="s">
        <v>99</v>
      </c>
      <c r="F255" s="204" t="s">
        <v>121</v>
      </c>
      <c r="G255" s="204" t="s">
        <v>111</v>
      </c>
    </row>
    <row r="256" spans="2:7" x14ac:dyDescent="0.35">
      <c r="B256" s="116" t="s">
        <v>54</v>
      </c>
      <c r="C256" s="59" t="s">
        <v>26</v>
      </c>
      <c r="D256" s="205">
        <v>0</v>
      </c>
      <c r="E256" s="204" t="s">
        <v>99</v>
      </c>
      <c r="F256" s="204" t="s">
        <v>121</v>
      </c>
      <c r="G256" s="204" t="s">
        <v>111</v>
      </c>
    </row>
    <row r="257" spans="2:7" x14ac:dyDescent="0.35">
      <c r="B257" s="116" t="s">
        <v>54</v>
      </c>
      <c r="C257" s="59" t="s">
        <v>26</v>
      </c>
      <c r="D257" s="205">
        <v>0</v>
      </c>
      <c r="E257" s="204" t="s">
        <v>99</v>
      </c>
      <c r="F257" s="204" t="s">
        <v>121</v>
      </c>
      <c r="G257" s="204" t="s">
        <v>111</v>
      </c>
    </row>
    <row r="258" spans="2:7" ht="56.5" x14ac:dyDescent="0.35">
      <c r="B258" s="113" t="s">
        <v>100</v>
      </c>
      <c r="C258" s="114"/>
      <c r="D258" s="218">
        <v>0</v>
      </c>
      <c r="E258" s="204" t="s">
        <v>122</v>
      </c>
      <c r="F258" s="204" t="s">
        <v>121</v>
      </c>
      <c r="G258" s="204" t="s">
        <v>111</v>
      </c>
    </row>
    <row r="259" spans="2:7" ht="28.5" x14ac:dyDescent="0.35">
      <c r="B259" s="115" t="s">
        <v>39</v>
      </c>
      <c r="C259" s="59"/>
      <c r="D259" s="205">
        <v>0</v>
      </c>
      <c r="E259" s="204" t="s">
        <v>122</v>
      </c>
      <c r="F259" s="204" t="s">
        <v>121</v>
      </c>
      <c r="G259" s="204" t="s">
        <v>111</v>
      </c>
    </row>
    <row r="260" spans="2:7" x14ac:dyDescent="0.35">
      <c r="B260" s="116" t="s">
        <v>61</v>
      </c>
      <c r="C260" s="59" t="s">
        <v>25</v>
      </c>
      <c r="D260" s="205">
        <v>0</v>
      </c>
      <c r="E260" s="204" t="s">
        <v>122</v>
      </c>
      <c r="F260" s="204" t="s">
        <v>121</v>
      </c>
      <c r="G260" s="204" t="s">
        <v>111</v>
      </c>
    </row>
    <row r="261" spans="2:7" x14ac:dyDescent="0.35">
      <c r="B261" s="116" t="s">
        <v>71</v>
      </c>
      <c r="C261" s="59" t="s">
        <v>25</v>
      </c>
      <c r="D261" s="205">
        <v>0</v>
      </c>
      <c r="E261" s="204" t="s">
        <v>122</v>
      </c>
      <c r="F261" s="204" t="s">
        <v>121</v>
      </c>
      <c r="G261" s="204" t="s">
        <v>111</v>
      </c>
    </row>
    <row r="262" spans="2:7" x14ac:dyDescent="0.35">
      <c r="B262" s="116" t="s">
        <v>80</v>
      </c>
      <c r="C262" s="59" t="s">
        <v>25</v>
      </c>
      <c r="D262" s="205">
        <v>0</v>
      </c>
      <c r="E262" s="204" t="s">
        <v>122</v>
      </c>
      <c r="F262" s="204" t="s">
        <v>121</v>
      </c>
      <c r="G262" s="204" t="s">
        <v>111</v>
      </c>
    </row>
    <row r="263" spans="2:7" x14ac:dyDescent="0.35">
      <c r="B263" s="116" t="s">
        <v>80</v>
      </c>
      <c r="C263" s="59" t="s">
        <v>25</v>
      </c>
      <c r="D263" s="205">
        <v>0</v>
      </c>
      <c r="E263" s="204" t="s">
        <v>122</v>
      </c>
      <c r="F263" s="204" t="s">
        <v>121</v>
      </c>
      <c r="G263" s="204" t="s">
        <v>111</v>
      </c>
    </row>
    <row r="264" spans="2:7" x14ac:dyDescent="0.35">
      <c r="B264" s="116" t="s">
        <v>12</v>
      </c>
      <c r="C264" s="59" t="s">
        <v>59</v>
      </c>
      <c r="D264" s="205">
        <v>0</v>
      </c>
      <c r="E264" s="204" t="s">
        <v>122</v>
      </c>
      <c r="F264" s="204" t="s">
        <v>121</v>
      </c>
      <c r="G264" s="204" t="s">
        <v>111</v>
      </c>
    </row>
    <row r="265" spans="2:7" x14ac:dyDescent="0.35">
      <c r="B265" s="116" t="s">
        <v>81</v>
      </c>
      <c r="C265" s="59" t="s">
        <v>74</v>
      </c>
      <c r="D265" s="205">
        <v>0</v>
      </c>
      <c r="E265" s="204" t="s">
        <v>122</v>
      </c>
      <c r="F265" s="204" t="s">
        <v>121</v>
      </c>
      <c r="G265" s="204" t="s">
        <v>111</v>
      </c>
    </row>
    <row r="266" spans="2:7" x14ac:dyDescent="0.35">
      <c r="B266" s="116" t="s">
        <v>73</v>
      </c>
      <c r="C266" s="59" t="s">
        <v>59</v>
      </c>
      <c r="D266" s="205">
        <v>0</v>
      </c>
      <c r="E266" s="204" t="s">
        <v>122</v>
      </c>
      <c r="F266" s="204" t="s">
        <v>121</v>
      </c>
      <c r="G266" s="204" t="s">
        <v>111</v>
      </c>
    </row>
    <row r="267" spans="2:7" x14ac:dyDescent="0.35">
      <c r="B267" s="116" t="s">
        <v>62</v>
      </c>
      <c r="C267" s="59" t="s">
        <v>60</v>
      </c>
      <c r="D267" s="205">
        <v>0</v>
      </c>
      <c r="E267" s="204" t="s">
        <v>122</v>
      </c>
      <c r="F267" s="204" t="s">
        <v>121</v>
      </c>
      <c r="G267" s="204" t="s">
        <v>111</v>
      </c>
    </row>
    <row r="268" spans="2:7" x14ac:dyDescent="0.35">
      <c r="B268" s="116" t="s">
        <v>62</v>
      </c>
      <c r="C268" s="59" t="s">
        <v>60</v>
      </c>
      <c r="D268" s="205">
        <v>0</v>
      </c>
      <c r="E268" s="204" t="s">
        <v>122</v>
      </c>
      <c r="F268" s="204" t="s">
        <v>121</v>
      </c>
      <c r="G268" s="204" t="s">
        <v>111</v>
      </c>
    </row>
    <row r="269" spans="2:7" ht="28.5" x14ac:dyDescent="0.35">
      <c r="B269" s="115" t="s">
        <v>40</v>
      </c>
      <c r="C269" s="59" t="s">
        <v>26</v>
      </c>
      <c r="D269" s="205">
        <v>0</v>
      </c>
      <c r="E269" s="204" t="s">
        <v>122</v>
      </c>
      <c r="F269" s="204" t="s">
        <v>121</v>
      </c>
      <c r="G269" s="204" t="s">
        <v>111</v>
      </c>
    </row>
    <row r="270" spans="2:7" x14ac:dyDescent="0.35">
      <c r="B270" s="116" t="s">
        <v>57</v>
      </c>
      <c r="C270" s="59" t="s">
        <v>26</v>
      </c>
      <c r="D270" s="205">
        <v>0</v>
      </c>
      <c r="E270" s="204" t="s">
        <v>122</v>
      </c>
      <c r="F270" s="204" t="s">
        <v>121</v>
      </c>
      <c r="G270" s="204" t="s">
        <v>111</v>
      </c>
    </row>
    <row r="271" spans="2:7" x14ac:dyDescent="0.35">
      <c r="B271" s="116" t="s">
        <v>58</v>
      </c>
      <c r="C271" s="59" t="s">
        <v>26</v>
      </c>
      <c r="D271" s="205">
        <v>0</v>
      </c>
      <c r="E271" s="204" t="s">
        <v>122</v>
      </c>
      <c r="F271" s="204" t="s">
        <v>121</v>
      </c>
      <c r="G271" s="204" t="s">
        <v>111</v>
      </c>
    </row>
    <row r="272" spans="2:7" x14ac:dyDescent="0.35">
      <c r="B272" s="116" t="s">
        <v>82</v>
      </c>
      <c r="C272" s="59" t="s">
        <v>26</v>
      </c>
      <c r="D272" s="205">
        <v>0</v>
      </c>
      <c r="E272" s="204" t="s">
        <v>122</v>
      </c>
      <c r="F272" s="204" t="s">
        <v>121</v>
      </c>
      <c r="G272" s="204" t="s">
        <v>111</v>
      </c>
    </row>
    <row r="273" spans="2:7" x14ac:dyDescent="0.35">
      <c r="B273" s="116" t="s">
        <v>82</v>
      </c>
      <c r="C273" s="59" t="s">
        <v>26</v>
      </c>
      <c r="D273" s="205">
        <v>0</v>
      </c>
      <c r="E273" s="204" t="s">
        <v>122</v>
      </c>
      <c r="F273" s="204" t="s">
        <v>121</v>
      </c>
      <c r="G273" s="204" t="s">
        <v>111</v>
      </c>
    </row>
    <row r="274" spans="2:7" x14ac:dyDescent="0.35">
      <c r="B274" s="116" t="s">
        <v>83</v>
      </c>
      <c r="C274" s="59" t="s">
        <v>26</v>
      </c>
      <c r="D274" s="205">
        <v>0</v>
      </c>
      <c r="E274" s="204" t="s">
        <v>122</v>
      </c>
      <c r="F274" s="204" t="s">
        <v>121</v>
      </c>
      <c r="G274" s="204" t="s">
        <v>111</v>
      </c>
    </row>
    <row r="275" spans="2:7" x14ac:dyDescent="0.35">
      <c r="B275" s="116" t="s">
        <v>84</v>
      </c>
      <c r="C275" s="59" t="s">
        <v>26</v>
      </c>
      <c r="D275" s="205">
        <v>0</v>
      </c>
      <c r="E275" s="204" t="s">
        <v>122</v>
      </c>
      <c r="F275" s="204" t="s">
        <v>121</v>
      </c>
      <c r="G275" s="204" t="s">
        <v>111</v>
      </c>
    </row>
    <row r="276" spans="2:7" x14ac:dyDescent="0.35">
      <c r="B276" s="116" t="s">
        <v>85</v>
      </c>
      <c r="C276" s="59" t="s">
        <v>26</v>
      </c>
      <c r="D276" s="205">
        <v>0</v>
      </c>
      <c r="E276" s="204" t="s">
        <v>122</v>
      </c>
      <c r="F276" s="204" t="s">
        <v>121</v>
      </c>
      <c r="G276" s="204" t="s">
        <v>111</v>
      </c>
    </row>
    <row r="277" spans="2:7" x14ac:dyDescent="0.35">
      <c r="B277" s="116" t="s">
        <v>54</v>
      </c>
      <c r="C277" s="59" t="s">
        <v>26</v>
      </c>
      <c r="D277" s="205">
        <v>0</v>
      </c>
      <c r="E277" s="204" t="s">
        <v>122</v>
      </c>
      <c r="F277" s="204" t="s">
        <v>121</v>
      </c>
      <c r="G277" s="204" t="s">
        <v>111</v>
      </c>
    </row>
    <row r="278" spans="2:7" x14ac:dyDescent="0.35">
      <c r="B278" s="116" t="s">
        <v>54</v>
      </c>
      <c r="C278" s="59" t="s">
        <v>26</v>
      </c>
      <c r="D278" s="205">
        <v>0</v>
      </c>
      <c r="E278" s="204" t="s">
        <v>122</v>
      </c>
      <c r="F278" s="204" t="s">
        <v>121</v>
      </c>
      <c r="G278" s="204" t="s">
        <v>111</v>
      </c>
    </row>
    <row r="279" spans="2:7" ht="56.5" x14ac:dyDescent="0.35">
      <c r="B279" s="113" t="s">
        <v>100</v>
      </c>
      <c r="C279" s="114"/>
      <c r="D279" s="218">
        <v>95.358699999999999</v>
      </c>
      <c r="E279" s="204" t="s">
        <v>123</v>
      </c>
      <c r="F279" s="204" t="s">
        <v>121</v>
      </c>
      <c r="G279" s="204" t="s">
        <v>111</v>
      </c>
    </row>
    <row r="280" spans="2:7" ht="28.5" x14ac:dyDescent="0.35">
      <c r="B280" s="115" t="s">
        <v>39</v>
      </c>
      <c r="C280" s="59"/>
      <c r="D280" s="205"/>
      <c r="E280" s="204" t="s">
        <v>123</v>
      </c>
      <c r="F280" s="204" t="s">
        <v>121</v>
      </c>
      <c r="G280" s="204" t="s">
        <v>111</v>
      </c>
    </row>
    <row r="281" spans="2:7" x14ac:dyDescent="0.35">
      <c r="B281" s="116" t="s">
        <v>61</v>
      </c>
      <c r="C281" s="59" t="s">
        <v>25</v>
      </c>
      <c r="D281" s="205">
        <v>9</v>
      </c>
      <c r="E281" s="204" t="s">
        <v>123</v>
      </c>
      <c r="F281" s="204" t="s">
        <v>121</v>
      </c>
      <c r="G281" s="204" t="s">
        <v>111</v>
      </c>
    </row>
    <row r="282" spans="2:7" x14ac:dyDescent="0.35">
      <c r="B282" s="116" t="s">
        <v>71</v>
      </c>
      <c r="C282" s="59" t="s">
        <v>25</v>
      </c>
      <c r="D282" s="205">
        <v>5</v>
      </c>
      <c r="E282" s="204" t="s">
        <v>123</v>
      </c>
      <c r="F282" s="204" t="s">
        <v>121</v>
      </c>
      <c r="G282" s="204" t="s">
        <v>111</v>
      </c>
    </row>
    <row r="283" spans="2:7" x14ac:dyDescent="0.35">
      <c r="B283" s="116" t="s">
        <v>80</v>
      </c>
      <c r="C283" s="59" t="s">
        <v>25</v>
      </c>
      <c r="D283" s="205">
        <v>5</v>
      </c>
      <c r="E283" s="204" t="s">
        <v>123</v>
      </c>
      <c r="F283" s="204" t="s">
        <v>121</v>
      </c>
      <c r="G283" s="204" t="s">
        <v>111</v>
      </c>
    </row>
    <row r="284" spans="2:7" x14ac:dyDescent="0.35">
      <c r="B284" s="116" t="s">
        <v>80</v>
      </c>
      <c r="C284" s="59" t="s">
        <v>25</v>
      </c>
      <c r="D284" s="205">
        <v>2</v>
      </c>
      <c r="E284" s="204" t="s">
        <v>123</v>
      </c>
      <c r="F284" s="204" t="s">
        <v>121</v>
      </c>
      <c r="G284" s="204" t="s">
        <v>111</v>
      </c>
    </row>
    <row r="285" spans="2:7" x14ac:dyDescent="0.35">
      <c r="B285" s="116" t="s">
        <v>12</v>
      </c>
      <c r="C285" s="59" t="s">
        <v>59</v>
      </c>
      <c r="D285" s="205">
        <v>10</v>
      </c>
      <c r="E285" s="204" t="s">
        <v>123</v>
      </c>
      <c r="F285" s="204" t="s">
        <v>121</v>
      </c>
      <c r="G285" s="204" t="s">
        <v>111</v>
      </c>
    </row>
    <row r="286" spans="2:7" x14ac:dyDescent="0.35">
      <c r="B286" s="116" t="s">
        <v>81</v>
      </c>
      <c r="C286" s="59" t="s">
        <v>74</v>
      </c>
      <c r="D286" s="205">
        <v>1</v>
      </c>
      <c r="E286" s="204" t="s">
        <v>123</v>
      </c>
      <c r="F286" s="204" t="s">
        <v>121</v>
      </c>
      <c r="G286" s="204" t="s">
        <v>111</v>
      </c>
    </row>
    <row r="287" spans="2:7" x14ac:dyDescent="0.35">
      <c r="B287" s="116" t="s">
        <v>73</v>
      </c>
      <c r="C287" s="59" t="s">
        <v>59</v>
      </c>
      <c r="D287" s="205">
        <v>46</v>
      </c>
      <c r="E287" s="204" t="s">
        <v>123</v>
      </c>
      <c r="F287" s="204" t="s">
        <v>121</v>
      </c>
      <c r="G287" s="204" t="s">
        <v>111</v>
      </c>
    </row>
    <row r="288" spans="2:7" x14ac:dyDescent="0.35">
      <c r="B288" s="116" t="s">
        <v>62</v>
      </c>
      <c r="C288" s="59" t="s">
        <v>60</v>
      </c>
      <c r="D288" s="205">
        <v>37</v>
      </c>
      <c r="E288" s="204" t="s">
        <v>123</v>
      </c>
      <c r="F288" s="204" t="s">
        <v>121</v>
      </c>
      <c r="G288" s="204" t="s">
        <v>111</v>
      </c>
    </row>
    <row r="289" spans="2:7" x14ac:dyDescent="0.35">
      <c r="B289" s="116" t="s">
        <v>62</v>
      </c>
      <c r="C289" s="59" t="s">
        <v>60</v>
      </c>
      <c r="D289" s="205">
        <v>33</v>
      </c>
      <c r="E289" s="204" t="s">
        <v>123</v>
      </c>
      <c r="F289" s="204" t="s">
        <v>121</v>
      </c>
      <c r="G289" s="204" t="s">
        <v>111</v>
      </c>
    </row>
    <row r="290" spans="2:7" ht="28.5" x14ac:dyDescent="0.35">
      <c r="B290" s="115" t="s">
        <v>40</v>
      </c>
      <c r="C290" s="59" t="s">
        <v>26</v>
      </c>
      <c r="D290" s="205"/>
      <c r="E290" s="204" t="s">
        <v>123</v>
      </c>
      <c r="F290" s="204" t="s">
        <v>121</v>
      </c>
      <c r="G290" s="204" t="s">
        <v>111</v>
      </c>
    </row>
    <row r="291" spans="2:7" x14ac:dyDescent="0.35">
      <c r="B291" s="116" t="s">
        <v>57</v>
      </c>
      <c r="C291" s="59" t="s">
        <v>26</v>
      </c>
      <c r="D291" s="205">
        <v>2.4700000000000002</v>
      </c>
      <c r="E291" s="204" t="s">
        <v>123</v>
      </c>
      <c r="F291" s="204" t="s">
        <v>121</v>
      </c>
      <c r="G291" s="204" t="s">
        <v>111</v>
      </c>
    </row>
    <row r="292" spans="2:7" x14ac:dyDescent="0.35">
      <c r="B292" s="116" t="s">
        <v>58</v>
      </c>
      <c r="C292" s="59" t="s">
        <v>26</v>
      </c>
      <c r="D292" s="205">
        <v>2.8620000000000001</v>
      </c>
      <c r="E292" s="204" t="s">
        <v>123</v>
      </c>
      <c r="F292" s="204" t="s">
        <v>121</v>
      </c>
      <c r="G292" s="204" t="s">
        <v>111</v>
      </c>
    </row>
    <row r="293" spans="2:7" x14ac:dyDescent="0.35">
      <c r="B293" s="116" t="s">
        <v>82</v>
      </c>
      <c r="C293" s="59" t="s">
        <v>26</v>
      </c>
      <c r="D293" s="205">
        <v>2.5139999999999998</v>
      </c>
      <c r="E293" s="204" t="s">
        <v>123</v>
      </c>
      <c r="F293" s="204" t="s">
        <v>121</v>
      </c>
      <c r="G293" s="204" t="s">
        <v>111</v>
      </c>
    </row>
    <row r="294" spans="2:7" x14ac:dyDescent="0.35">
      <c r="B294" s="116" t="s">
        <v>82</v>
      </c>
      <c r="C294" s="59" t="s">
        <v>26</v>
      </c>
      <c r="D294" s="205">
        <v>5.31</v>
      </c>
      <c r="E294" s="204" t="s">
        <v>123</v>
      </c>
      <c r="F294" s="204" t="s">
        <v>121</v>
      </c>
      <c r="G294" s="204" t="s">
        <v>111</v>
      </c>
    </row>
    <row r="295" spans="2:7" x14ac:dyDescent="0.35">
      <c r="B295" s="116" t="s">
        <v>83</v>
      </c>
      <c r="C295" s="59" t="s">
        <v>26</v>
      </c>
      <c r="D295" s="205">
        <v>0.35699999999999998</v>
      </c>
      <c r="E295" s="204" t="s">
        <v>123</v>
      </c>
      <c r="F295" s="204" t="s">
        <v>121</v>
      </c>
      <c r="G295" s="204" t="s">
        <v>111</v>
      </c>
    </row>
    <row r="296" spans="2:7" x14ac:dyDescent="0.35">
      <c r="B296" s="116" t="s">
        <v>84</v>
      </c>
      <c r="C296" s="59" t="s">
        <v>26</v>
      </c>
      <c r="D296" s="205">
        <v>0.56000000000000005</v>
      </c>
      <c r="E296" s="204" t="s">
        <v>123</v>
      </c>
      <c r="F296" s="204" t="s">
        <v>121</v>
      </c>
      <c r="G296" s="204" t="s">
        <v>111</v>
      </c>
    </row>
    <row r="297" spans="2:7" x14ac:dyDescent="0.35">
      <c r="B297" s="116" t="s">
        <v>85</v>
      </c>
      <c r="C297" s="59" t="s">
        <v>26</v>
      </c>
      <c r="D297" s="205">
        <v>0.34</v>
      </c>
      <c r="E297" s="204" t="s">
        <v>123</v>
      </c>
      <c r="F297" s="204" t="s">
        <v>121</v>
      </c>
      <c r="G297" s="204" t="s">
        <v>111</v>
      </c>
    </row>
    <row r="298" spans="2:7" x14ac:dyDescent="0.35">
      <c r="B298" s="116" t="s">
        <v>54</v>
      </c>
      <c r="C298" s="59" t="s">
        <v>26</v>
      </c>
      <c r="D298" s="205">
        <v>0.22</v>
      </c>
      <c r="E298" s="204" t="s">
        <v>123</v>
      </c>
      <c r="F298" s="204" t="s">
        <v>121</v>
      </c>
      <c r="G298" s="204" t="s">
        <v>111</v>
      </c>
    </row>
    <row r="299" spans="2:7" x14ac:dyDescent="0.35">
      <c r="B299" s="116" t="s">
        <v>54</v>
      </c>
      <c r="C299" s="59" t="s">
        <v>26</v>
      </c>
      <c r="D299" s="205">
        <v>0.2339</v>
      </c>
      <c r="E299" s="204" t="s">
        <v>123</v>
      </c>
      <c r="F299" s="204" t="s">
        <v>121</v>
      </c>
      <c r="G299" s="204" t="s">
        <v>111</v>
      </c>
    </row>
    <row r="300" spans="2:7" ht="28.5" x14ac:dyDescent="0.35">
      <c r="B300" s="226" t="s">
        <v>101</v>
      </c>
      <c r="C300" s="227"/>
      <c r="D300" s="218">
        <v>37892.127555498118</v>
      </c>
      <c r="E300" s="204" t="s">
        <v>99</v>
      </c>
      <c r="F300" s="204" t="s">
        <v>121</v>
      </c>
      <c r="G300" s="204" t="s">
        <v>111</v>
      </c>
    </row>
    <row r="301" spans="2:7" ht="56.5" x14ac:dyDescent="0.35">
      <c r="B301" s="118" t="s">
        <v>112</v>
      </c>
      <c r="C301" s="106" t="s">
        <v>30</v>
      </c>
      <c r="D301" s="205">
        <v>114554.52219309782</v>
      </c>
      <c r="E301" s="204" t="s">
        <v>99</v>
      </c>
      <c r="F301" s="204" t="s">
        <v>121</v>
      </c>
      <c r="G301" s="204" t="s">
        <v>111</v>
      </c>
    </row>
    <row r="302" spans="2:7" x14ac:dyDescent="0.35">
      <c r="B302" s="118" t="s">
        <v>113</v>
      </c>
      <c r="C302" s="106" t="s">
        <v>7</v>
      </c>
      <c r="D302" s="205">
        <v>196469.86</v>
      </c>
      <c r="E302" s="204" t="s">
        <v>99</v>
      </c>
      <c r="F302" s="204" t="s">
        <v>121</v>
      </c>
      <c r="G302" s="204" t="s">
        <v>111</v>
      </c>
    </row>
    <row r="303" spans="2:7" ht="56.5" x14ac:dyDescent="0.35">
      <c r="B303" s="118" t="s">
        <v>114</v>
      </c>
      <c r="C303" s="106" t="s">
        <v>30</v>
      </c>
      <c r="D303" s="205">
        <v>193164.92440684114</v>
      </c>
      <c r="E303" s="204" t="s">
        <v>99</v>
      </c>
      <c r="F303" s="204" t="s">
        <v>121</v>
      </c>
      <c r="G303" s="204" t="s">
        <v>111</v>
      </c>
    </row>
    <row r="304" spans="2:7" x14ac:dyDescent="0.35">
      <c r="B304" s="118" t="s">
        <v>115</v>
      </c>
      <c r="C304" s="106" t="s">
        <v>7</v>
      </c>
      <c r="D304" s="205">
        <v>248946.66900000008</v>
      </c>
      <c r="E304" s="204" t="s">
        <v>99</v>
      </c>
      <c r="F304" s="204" t="s">
        <v>121</v>
      </c>
      <c r="G304" s="204" t="s">
        <v>111</v>
      </c>
    </row>
    <row r="305" spans="2:9" ht="28.5" x14ac:dyDescent="0.35">
      <c r="B305" s="226" t="s">
        <v>101</v>
      </c>
      <c r="C305" s="227"/>
      <c r="D305" s="218">
        <v>15730.163169870544</v>
      </c>
      <c r="E305" s="204" t="s">
        <v>122</v>
      </c>
      <c r="F305" s="204" t="s">
        <v>121</v>
      </c>
      <c r="G305" s="204" t="s">
        <v>111</v>
      </c>
    </row>
    <row r="306" spans="2:9" ht="56.5" x14ac:dyDescent="0.35">
      <c r="B306" s="118" t="s">
        <v>112</v>
      </c>
      <c r="C306" s="106" t="s">
        <v>30</v>
      </c>
      <c r="D306" s="205">
        <v>45150.817637916865</v>
      </c>
      <c r="E306" s="204" t="s">
        <v>122</v>
      </c>
      <c r="F306" s="204" t="s">
        <v>121</v>
      </c>
      <c r="G306" s="204" t="s">
        <v>111</v>
      </c>
    </row>
    <row r="307" spans="2:9" x14ac:dyDescent="0.35">
      <c r="B307" s="118" t="s">
        <v>113</v>
      </c>
      <c r="C307" s="106" t="s">
        <v>7</v>
      </c>
      <c r="D307" s="205">
        <v>86219.339999999982</v>
      </c>
      <c r="E307" s="204" t="s">
        <v>122</v>
      </c>
      <c r="F307" s="204" t="s">
        <v>121</v>
      </c>
      <c r="G307" s="204" t="s">
        <v>111</v>
      </c>
    </row>
    <row r="308" spans="2:9" ht="56.5" x14ac:dyDescent="0.35">
      <c r="B308" s="118" t="s">
        <v>114</v>
      </c>
      <c r="C308" s="106" t="s">
        <v>30</v>
      </c>
      <c r="D308" s="205">
        <v>61139.621039261932</v>
      </c>
      <c r="E308" s="204" t="s">
        <v>122</v>
      </c>
      <c r="F308" s="204" t="s">
        <v>121</v>
      </c>
      <c r="G308" s="204" t="s">
        <v>111</v>
      </c>
    </row>
    <row r="309" spans="2:9" x14ac:dyDescent="0.35">
      <c r="B309" s="118" t="s">
        <v>115</v>
      </c>
      <c r="C309" s="106" t="s">
        <v>7</v>
      </c>
      <c r="D309" s="205">
        <v>86585.624999999985</v>
      </c>
      <c r="E309" s="204" t="s">
        <v>122</v>
      </c>
      <c r="F309" s="204" t="s">
        <v>121</v>
      </c>
      <c r="G309" s="204" t="s">
        <v>111</v>
      </c>
    </row>
    <row r="310" spans="2:9" ht="28.5" x14ac:dyDescent="0.35">
      <c r="B310" s="226" t="s">
        <v>101</v>
      </c>
      <c r="C310" s="227"/>
      <c r="D310" s="218">
        <v>10102.968149693032</v>
      </c>
      <c r="E310" s="204" t="s">
        <v>123</v>
      </c>
      <c r="F310" s="204" t="s">
        <v>121</v>
      </c>
      <c r="G310" s="204" t="s">
        <v>111</v>
      </c>
    </row>
    <row r="311" spans="2:9" ht="56.5" x14ac:dyDescent="0.35">
      <c r="B311" s="118" t="s">
        <v>112</v>
      </c>
      <c r="C311" s="106" t="s">
        <v>30</v>
      </c>
      <c r="D311" s="205">
        <v>37767.140168985352</v>
      </c>
      <c r="E311" s="204" t="s">
        <v>123</v>
      </c>
      <c r="F311" s="204" t="s">
        <v>121</v>
      </c>
      <c r="G311" s="204" t="s">
        <v>111</v>
      </c>
    </row>
    <row r="312" spans="2:9" x14ac:dyDescent="0.35">
      <c r="B312" s="118" t="s">
        <v>113</v>
      </c>
      <c r="C312" s="106" t="s">
        <v>7</v>
      </c>
      <c r="D312" s="205">
        <v>57478.28</v>
      </c>
      <c r="E312" s="204" t="s">
        <v>123</v>
      </c>
      <c r="F312" s="204" t="s">
        <v>121</v>
      </c>
      <c r="G312" s="204" t="s">
        <v>111</v>
      </c>
    </row>
    <row r="313" spans="2:9" ht="56.5" x14ac:dyDescent="0.35">
      <c r="B313" s="118" t="s">
        <v>114</v>
      </c>
      <c r="C313" s="106" t="s">
        <v>30</v>
      </c>
      <c r="D313" s="205">
        <v>49957.304553896967</v>
      </c>
      <c r="E313" s="204" t="s">
        <v>123</v>
      </c>
      <c r="F313" s="204" t="s">
        <v>121</v>
      </c>
      <c r="G313" s="204" t="s">
        <v>111</v>
      </c>
    </row>
    <row r="314" spans="2:9" x14ac:dyDescent="0.35">
      <c r="B314" s="118" t="s">
        <v>115</v>
      </c>
      <c r="C314" s="106" t="s">
        <v>7</v>
      </c>
      <c r="D314" s="205">
        <v>59984.404465484637</v>
      </c>
      <c r="E314" s="204" t="s">
        <v>123</v>
      </c>
      <c r="F314" s="204" t="s">
        <v>121</v>
      </c>
      <c r="G314" s="204" t="s">
        <v>111</v>
      </c>
    </row>
    <row r="315" spans="2:9" ht="42" x14ac:dyDescent="0.35">
      <c r="B315" s="107" t="s">
        <v>98</v>
      </c>
      <c r="C315" s="108"/>
      <c r="D315" s="218">
        <v>0</v>
      </c>
      <c r="E315" s="204" t="s">
        <v>99</v>
      </c>
      <c r="F315" s="204" t="s">
        <v>121</v>
      </c>
      <c r="G315" s="204" t="s">
        <v>116</v>
      </c>
      <c r="H315" s="120"/>
      <c r="I315" s="120"/>
    </row>
    <row r="316" spans="2:9" x14ac:dyDescent="0.35">
      <c r="B316" s="109" t="s">
        <v>11</v>
      </c>
      <c r="C316" s="104" t="s">
        <v>5</v>
      </c>
      <c r="D316" s="205">
        <v>43</v>
      </c>
      <c r="E316" s="204" t="s">
        <v>99</v>
      </c>
      <c r="F316" s="204" t="s">
        <v>121</v>
      </c>
      <c r="G316" s="204" t="s">
        <v>116</v>
      </c>
      <c r="H316" s="120"/>
      <c r="I316" s="120"/>
    </row>
    <row r="317" spans="2:9" x14ac:dyDescent="0.35">
      <c r="B317" s="110" t="s">
        <v>48</v>
      </c>
      <c r="C317" s="104" t="s">
        <v>5</v>
      </c>
      <c r="D317" s="205">
        <v>12790</v>
      </c>
      <c r="E317" s="204" t="s">
        <v>99</v>
      </c>
      <c r="F317" s="204" t="s">
        <v>121</v>
      </c>
      <c r="G317" s="204" t="s">
        <v>116</v>
      </c>
      <c r="H317" s="120"/>
      <c r="I317" s="120"/>
    </row>
    <row r="318" spans="2:9" x14ac:dyDescent="0.35">
      <c r="B318" s="110" t="s">
        <v>49</v>
      </c>
      <c r="C318" s="104" t="s">
        <v>5</v>
      </c>
      <c r="D318" s="205">
        <v>12790</v>
      </c>
      <c r="E318" s="204" t="s">
        <v>99</v>
      </c>
      <c r="F318" s="204" t="s">
        <v>121</v>
      </c>
      <c r="G318" s="204" t="s">
        <v>116</v>
      </c>
      <c r="H318" s="120"/>
      <c r="I318" s="120"/>
    </row>
    <row r="319" spans="2:9" x14ac:dyDescent="0.35">
      <c r="B319" s="111" t="s">
        <v>44</v>
      </c>
      <c r="C319" s="104" t="s">
        <v>5</v>
      </c>
      <c r="D319" s="205">
        <v>0</v>
      </c>
      <c r="E319" s="204" t="s">
        <v>99</v>
      </c>
      <c r="F319" s="204" t="s">
        <v>121</v>
      </c>
      <c r="G319" s="204" t="s">
        <v>116</v>
      </c>
      <c r="H319" s="120"/>
      <c r="I319" s="120"/>
    </row>
    <row r="320" spans="2:9" x14ac:dyDescent="0.35">
      <c r="B320" s="111" t="s">
        <v>45</v>
      </c>
      <c r="C320" s="104" t="s">
        <v>5</v>
      </c>
      <c r="D320" s="205">
        <v>0</v>
      </c>
      <c r="E320" s="204" t="s">
        <v>99</v>
      </c>
      <c r="F320" s="204" t="s">
        <v>121</v>
      </c>
      <c r="G320" s="204" t="s">
        <v>116</v>
      </c>
      <c r="H320" s="120"/>
      <c r="I320" s="120"/>
    </row>
    <row r="321" spans="2:9" x14ac:dyDescent="0.35">
      <c r="B321" s="110" t="s">
        <v>42</v>
      </c>
      <c r="C321" s="105" t="s">
        <v>7</v>
      </c>
      <c r="D321" s="205">
        <v>185411.79999999996</v>
      </c>
      <c r="E321" s="204" t="s">
        <v>99</v>
      </c>
      <c r="F321" s="204" t="s">
        <v>121</v>
      </c>
      <c r="G321" s="204" t="s">
        <v>116</v>
      </c>
      <c r="H321" s="120"/>
      <c r="I321" s="120"/>
    </row>
    <row r="322" spans="2:9" x14ac:dyDescent="0.35">
      <c r="B322" s="110" t="s">
        <v>50</v>
      </c>
      <c r="C322" s="105" t="s">
        <v>7</v>
      </c>
      <c r="D322" s="205">
        <v>185411.79999999996</v>
      </c>
      <c r="E322" s="204" t="s">
        <v>99</v>
      </c>
      <c r="F322" s="204" t="s">
        <v>121</v>
      </c>
      <c r="G322" s="204" t="s">
        <v>116</v>
      </c>
      <c r="H322" s="120"/>
      <c r="I322" s="120"/>
    </row>
    <row r="323" spans="2:9" x14ac:dyDescent="0.35">
      <c r="B323" s="112" t="s">
        <v>46</v>
      </c>
      <c r="C323" s="105" t="s">
        <v>7</v>
      </c>
      <c r="D323" s="205">
        <v>0</v>
      </c>
      <c r="E323" s="204" t="s">
        <v>99</v>
      </c>
      <c r="F323" s="204" t="s">
        <v>121</v>
      </c>
      <c r="G323" s="204" t="s">
        <v>116</v>
      </c>
      <c r="H323" s="120"/>
      <c r="I323" s="120"/>
    </row>
    <row r="324" spans="2:9" x14ac:dyDescent="0.35">
      <c r="B324" s="112" t="s">
        <v>47</v>
      </c>
      <c r="C324" s="105" t="s">
        <v>7</v>
      </c>
      <c r="D324" s="205">
        <v>0</v>
      </c>
      <c r="E324" s="204" t="s">
        <v>99</v>
      </c>
      <c r="F324" s="204" t="s">
        <v>121</v>
      </c>
      <c r="G324" s="204" t="s">
        <v>116</v>
      </c>
      <c r="H324" s="120"/>
      <c r="I324" s="120"/>
    </row>
    <row r="325" spans="2:9" x14ac:dyDescent="0.35">
      <c r="B325" s="110" t="s">
        <v>43</v>
      </c>
      <c r="C325" s="223" t="s">
        <v>8</v>
      </c>
      <c r="D325" s="205">
        <v>1.6343000000000001</v>
      </c>
      <c r="E325" s="204" t="s">
        <v>99</v>
      </c>
      <c r="F325" s="204" t="s">
        <v>121</v>
      </c>
      <c r="G325" s="204" t="s">
        <v>116</v>
      </c>
      <c r="H325" s="120"/>
      <c r="I325" s="120"/>
    </row>
    <row r="326" spans="2:9" ht="42" x14ac:dyDescent="0.35">
      <c r="B326" s="107" t="s">
        <v>98</v>
      </c>
      <c r="C326" s="108"/>
      <c r="D326" s="218">
        <v>0</v>
      </c>
      <c r="E326" s="204" t="s">
        <v>122</v>
      </c>
      <c r="F326" s="204" t="s">
        <v>121</v>
      </c>
      <c r="G326" s="204" t="s">
        <v>116</v>
      </c>
      <c r="H326" s="120"/>
      <c r="I326" s="120"/>
    </row>
    <row r="327" spans="2:9" x14ac:dyDescent="0.35">
      <c r="B327" s="109" t="s">
        <v>11</v>
      </c>
      <c r="C327" s="104" t="s">
        <v>5</v>
      </c>
      <c r="D327" s="205">
        <v>13</v>
      </c>
      <c r="E327" s="204" t="s">
        <v>122</v>
      </c>
      <c r="F327" s="204" t="s">
        <v>121</v>
      </c>
      <c r="G327" s="204" t="s">
        <v>116</v>
      </c>
      <c r="H327" s="120"/>
      <c r="I327" s="120"/>
    </row>
    <row r="328" spans="2:9" x14ac:dyDescent="0.35">
      <c r="B328" s="110" t="s">
        <v>48</v>
      </c>
      <c r="C328" s="104" t="s">
        <v>5</v>
      </c>
      <c r="D328" s="205">
        <v>8660</v>
      </c>
      <c r="E328" s="204" t="s">
        <v>122</v>
      </c>
      <c r="F328" s="204" t="s">
        <v>121</v>
      </c>
      <c r="G328" s="204" t="s">
        <v>116</v>
      </c>
      <c r="H328" s="120"/>
      <c r="I328" s="120"/>
    </row>
    <row r="329" spans="2:9" x14ac:dyDescent="0.35">
      <c r="B329" s="110" t="s">
        <v>49</v>
      </c>
      <c r="C329" s="104" t="s">
        <v>5</v>
      </c>
      <c r="D329" s="205">
        <v>8660</v>
      </c>
      <c r="E329" s="204" t="s">
        <v>122</v>
      </c>
      <c r="F329" s="204" t="s">
        <v>121</v>
      </c>
      <c r="G329" s="204" t="s">
        <v>116</v>
      </c>
      <c r="H329" s="120"/>
      <c r="I329" s="120"/>
    </row>
    <row r="330" spans="2:9" x14ac:dyDescent="0.35">
      <c r="B330" s="111" t="s">
        <v>44</v>
      </c>
      <c r="C330" s="104" t="s">
        <v>5</v>
      </c>
      <c r="D330" s="205">
        <v>0</v>
      </c>
      <c r="E330" s="204" t="s">
        <v>122</v>
      </c>
      <c r="F330" s="204" t="s">
        <v>121</v>
      </c>
      <c r="G330" s="204" t="s">
        <v>116</v>
      </c>
      <c r="H330" s="120"/>
      <c r="I330" s="120"/>
    </row>
    <row r="331" spans="2:9" x14ac:dyDescent="0.35">
      <c r="B331" s="111" t="s">
        <v>45</v>
      </c>
      <c r="C331" s="104" t="s">
        <v>5</v>
      </c>
      <c r="D331" s="205">
        <v>0</v>
      </c>
      <c r="E331" s="204" t="s">
        <v>122</v>
      </c>
      <c r="F331" s="204" t="s">
        <v>121</v>
      </c>
      <c r="G331" s="204" t="s">
        <v>116</v>
      </c>
      <c r="H331" s="120"/>
      <c r="I331" s="120"/>
    </row>
    <row r="332" spans="2:9" x14ac:dyDescent="0.35">
      <c r="B332" s="110" t="s">
        <v>42</v>
      </c>
      <c r="C332" s="105" t="s">
        <v>7</v>
      </c>
      <c r="D332" s="205">
        <v>84612.799999999988</v>
      </c>
      <c r="E332" s="204" t="s">
        <v>122</v>
      </c>
      <c r="F332" s="204" t="s">
        <v>121</v>
      </c>
      <c r="G332" s="204" t="s">
        <v>116</v>
      </c>
      <c r="H332" s="120"/>
      <c r="I332" s="120"/>
    </row>
    <row r="333" spans="2:9" x14ac:dyDescent="0.35">
      <c r="B333" s="110" t="s">
        <v>50</v>
      </c>
      <c r="C333" s="105" t="s">
        <v>7</v>
      </c>
      <c r="D333" s="205">
        <v>84612.799999999988</v>
      </c>
      <c r="E333" s="204" t="s">
        <v>122</v>
      </c>
      <c r="F333" s="204" t="s">
        <v>121</v>
      </c>
      <c r="G333" s="204" t="s">
        <v>116</v>
      </c>
      <c r="H333" s="120"/>
      <c r="I333" s="120"/>
    </row>
    <row r="334" spans="2:9" x14ac:dyDescent="0.35">
      <c r="B334" s="112" t="s">
        <v>46</v>
      </c>
      <c r="C334" s="105" t="s">
        <v>7</v>
      </c>
      <c r="D334" s="205">
        <v>0</v>
      </c>
      <c r="E334" s="204" t="s">
        <v>122</v>
      </c>
      <c r="F334" s="204" t="s">
        <v>121</v>
      </c>
      <c r="G334" s="204" t="s">
        <v>116</v>
      </c>
      <c r="H334" s="120"/>
      <c r="I334" s="120"/>
    </row>
    <row r="335" spans="2:9" x14ac:dyDescent="0.35">
      <c r="B335" s="112" t="s">
        <v>47</v>
      </c>
      <c r="C335" s="105" t="s">
        <v>7</v>
      </c>
      <c r="D335" s="205">
        <v>0</v>
      </c>
      <c r="E335" s="204" t="s">
        <v>122</v>
      </c>
      <c r="F335" s="204" t="s">
        <v>121</v>
      </c>
      <c r="G335" s="204" t="s">
        <v>116</v>
      </c>
      <c r="H335" s="120"/>
      <c r="I335" s="120"/>
    </row>
    <row r="336" spans="2:9" x14ac:dyDescent="0.35">
      <c r="B336" s="110" t="s">
        <v>43</v>
      </c>
      <c r="C336" s="223" t="s">
        <v>8</v>
      </c>
      <c r="D336" s="205">
        <v>0.84199999999999997</v>
      </c>
      <c r="E336" s="204" t="s">
        <v>122</v>
      </c>
      <c r="F336" s="204" t="s">
        <v>121</v>
      </c>
      <c r="G336" s="204" t="s">
        <v>116</v>
      </c>
      <c r="H336" s="120"/>
      <c r="I336" s="120"/>
    </row>
    <row r="337" spans="2:9" ht="42" x14ac:dyDescent="0.35">
      <c r="B337" s="107" t="s">
        <v>98</v>
      </c>
      <c r="C337" s="108"/>
      <c r="D337" s="205">
        <v>0</v>
      </c>
      <c r="E337" s="204" t="s">
        <v>123</v>
      </c>
      <c r="F337" s="204" t="s">
        <v>121</v>
      </c>
      <c r="G337" s="204" t="s">
        <v>116</v>
      </c>
      <c r="H337" s="120"/>
      <c r="I337" s="120"/>
    </row>
    <row r="338" spans="2:9" x14ac:dyDescent="0.35">
      <c r="B338" s="109" t="s">
        <v>11</v>
      </c>
      <c r="C338" s="104" t="s">
        <v>5</v>
      </c>
      <c r="D338" s="205">
        <v>20</v>
      </c>
      <c r="E338" s="204" t="s">
        <v>123</v>
      </c>
      <c r="F338" s="204" t="s">
        <v>121</v>
      </c>
      <c r="G338" s="204" t="s">
        <v>116</v>
      </c>
      <c r="H338" s="120"/>
      <c r="I338" s="120"/>
    </row>
    <row r="339" spans="2:9" x14ac:dyDescent="0.35">
      <c r="B339" s="110" t="s">
        <v>48</v>
      </c>
      <c r="C339" s="104" t="s">
        <v>5</v>
      </c>
      <c r="D339" s="205">
        <v>7840</v>
      </c>
      <c r="E339" s="204" t="s">
        <v>123</v>
      </c>
      <c r="F339" s="204" t="s">
        <v>121</v>
      </c>
      <c r="G339" s="204" t="s">
        <v>116</v>
      </c>
      <c r="H339" s="120"/>
      <c r="I339" s="120"/>
    </row>
    <row r="340" spans="2:9" x14ac:dyDescent="0.35">
      <c r="B340" s="110" t="s">
        <v>49</v>
      </c>
      <c r="C340" s="104" t="s">
        <v>5</v>
      </c>
      <c r="D340" s="205">
        <v>7840</v>
      </c>
      <c r="E340" s="204" t="s">
        <v>123</v>
      </c>
      <c r="F340" s="204" t="s">
        <v>121</v>
      </c>
      <c r="G340" s="204" t="s">
        <v>116</v>
      </c>
      <c r="H340" s="120"/>
      <c r="I340" s="120"/>
    </row>
    <row r="341" spans="2:9" x14ac:dyDescent="0.35">
      <c r="B341" s="111" t="s">
        <v>44</v>
      </c>
      <c r="C341" s="104" t="s">
        <v>5</v>
      </c>
      <c r="D341" s="205">
        <v>0</v>
      </c>
      <c r="E341" s="204" t="s">
        <v>123</v>
      </c>
      <c r="F341" s="204" t="s">
        <v>121</v>
      </c>
      <c r="G341" s="204" t="s">
        <v>116</v>
      </c>
      <c r="H341" s="120"/>
      <c r="I341" s="120"/>
    </row>
    <row r="342" spans="2:9" x14ac:dyDescent="0.35">
      <c r="B342" s="111" t="s">
        <v>45</v>
      </c>
      <c r="C342" s="104" t="s">
        <v>5</v>
      </c>
      <c r="D342" s="205">
        <v>0</v>
      </c>
      <c r="E342" s="204" t="s">
        <v>123</v>
      </c>
      <c r="F342" s="204" t="s">
        <v>121</v>
      </c>
      <c r="G342" s="204" t="s">
        <v>116</v>
      </c>
      <c r="H342" s="120"/>
      <c r="I342" s="120"/>
    </row>
    <row r="343" spans="2:9" x14ac:dyDescent="0.35">
      <c r="B343" s="110" t="s">
        <v>42</v>
      </c>
      <c r="C343" s="105" t="s">
        <v>7</v>
      </c>
      <c r="D343" s="205">
        <v>55825.820000000007</v>
      </c>
      <c r="E343" s="204" t="s">
        <v>123</v>
      </c>
      <c r="F343" s="204" t="s">
        <v>121</v>
      </c>
      <c r="G343" s="204" t="s">
        <v>116</v>
      </c>
      <c r="H343" s="120"/>
      <c r="I343" s="120"/>
    </row>
    <row r="344" spans="2:9" x14ac:dyDescent="0.35">
      <c r="B344" s="110" t="s">
        <v>50</v>
      </c>
      <c r="C344" s="105" t="s">
        <v>7</v>
      </c>
      <c r="D344" s="205">
        <v>55825.820000000007</v>
      </c>
      <c r="E344" s="204" t="s">
        <v>123</v>
      </c>
      <c r="F344" s="204" t="s">
        <v>121</v>
      </c>
      <c r="G344" s="204" t="s">
        <v>116</v>
      </c>
      <c r="H344" s="120"/>
      <c r="I344" s="120"/>
    </row>
    <row r="345" spans="2:9" x14ac:dyDescent="0.35">
      <c r="B345" s="112" t="s">
        <v>46</v>
      </c>
      <c r="C345" s="105" t="s">
        <v>7</v>
      </c>
      <c r="D345" s="205">
        <v>0</v>
      </c>
      <c r="E345" s="204" t="s">
        <v>123</v>
      </c>
      <c r="F345" s="204" t="s">
        <v>121</v>
      </c>
      <c r="G345" s="204" t="s">
        <v>116</v>
      </c>
      <c r="H345" s="120"/>
      <c r="I345" s="120"/>
    </row>
    <row r="346" spans="2:9" x14ac:dyDescent="0.35">
      <c r="B346" s="112" t="s">
        <v>47</v>
      </c>
      <c r="C346" s="105" t="s">
        <v>7</v>
      </c>
      <c r="D346" s="205">
        <v>0</v>
      </c>
      <c r="E346" s="204" t="s">
        <v>123</v>
      </c>
      <c r="F346" s="204" t="s">
        <v>121</v>
      </c>
      <c r="G346" s="204" t="s">
        <v>116</v>
      </c>
      <c r="H346" s="120"/>
      <c r="I346" s="120"/>
    </row>
    <row r="347" spans="2:9" x14ac:dyDescent="0.35">
      <c r="B347" s="110" t="s">
        <v>43</v>
      </c>
      <c r="C347" s="223" t="s">
        <v>8</v>
      </c>
      <c r="D347" s="205">
        <v>3.0809000000000002</v>
      </c>
      <c r="E347" s="204" t="s">
        <v>123</v>
      </c>
      <c r="F347" s="204" t="s">
        <v>121</v>
      </c>
      <c r="G347" s="204" t="s">
        <v>116</v>
      </c>
      <c r="H347" s="120"/>
      <c r="I347" s="120"/>
    </row>
    <row r="348" spans="2:9" ht="56.5" x14ac:dyDescent="0.35">
      <c r="B348" s="113" t="s">
        <v>100</v>
      </c>
      <c r="C348" s="114"/>
      <c r="D348" s="218">
        <v>8.8861999999999988</v>
      </c>
      <c r="E348" s="204" t="s">
        <v>99</v>
      </c>
      <c r="F348" s="204" t="s">
        <v>121</v>
      </c>
      <c r="G348" s="204" t="s">
        <v>116</v>
      </c>
      <c r="H348" s="120"/>
      <c r="I348" s="120"/>
    </row>
    <row r="349" spans="2:9" ht="28.5" x14ac:dyDescent="0.35">
      <c r="B349" s="206" t="s">
        <v>39</v>
      </c>
      <c r="C349" s="158"/>
      <c r="D349" s="205"/>
      <c r="E349" s="204" t="s">
        <v>99</v>
      </c>
      <c r="F349" s="204" t="s">
        <v>121</v>
      </c>
      <c r="G349" s="204" t="s">
        <v>116</v>
      </c>
      <c r="H349" s="120"/>
      <c r="I349" s="120"/>
    </row>
    <row r="350" spans="2:9" x14ac:dyDescent="0.35">
      <c r="B350" s="207" t="s">
        <v>61</v>
      </c>
      <c r="C350" s="158" t="s">
        <v>25</v>
      </c>
      <c r="D350" s="205"/>
      <c r="E350" s="204" t="s">
        <v>99</v>
      </c>
      <c r="F350" s="204" t="s">
        <v>121</v>
      </c>
      <c r="G350" s="204" t="s">
        <v>116</v>
      </c>
      <c r="H350" s="120"/>
      <c r="I350" s="120"/>
    </row>
    <row r="351" spans="2:9" x14ac:dyDescent="0.35">
      <c r="B351" s="208" t="s">
        <v>129</v>
      </c>
      <c r="C351" s="163" t="s">
        <v>25</v>
      </c>
      <c r="D351" s="205"/>
      <c r="E351" s="204" t="s">
        <v>99</v>
      </c>
      <c r="F351" s="204" t="s">
        <v>121</v>
      </c>
      <c r="G351" s="204" t="s">
        <v>116</v>
      </c>
      <c r="H351" s="120"/>
      <c r="I351" s="120"/>
    </row>
    <row r="352" spans="2:9" x14ac:dyDescent="0.35">
      <c r="B352" s="208" t="s">
        <v>130</v>
      </c>
      <c r="C352" s="163" t="s">
        <v>25</v>
      </c>
      <c r="D352" s="205"/>
      <c r="E352" s="204" t="s">
        <v>99</v>
      </c>
      <c r="F352" s="204" t="s">
        <v>121</v>
      </c>
      <c r="G352" s="204" t="s">
        <v>116</v>
      </c>
      <c r="H352" s="120"/>
      <c r="I352" s="120"/>
    </row>
    <row r="353" spans="2:9" x14ac:dyDescent="0.35">
      <c r="B353" s="208" t="s">
        <v>71</v>
      </c>
      <c r="C353" s="163" t="s">
        <v>25</v>
      </c>
      <c r="D353" s="205"/>
      <c r="E353" s="204" t="s">
        <v>99</v>
      </c>
      <c r="F353" s="204" t="s">
        <v>121</v>
      </c>
      <c r="G353" s="204" t="s">
        <v>116</v>
      </c>
      <c r="H353" s="120"/>
      <c r="I353" s="120"/>
    </row>
    <row r="354" spans="2:9" x14ac:dyDescent="0.35">
      <c r="B354" s="208" t="s">
        <v>131</v>
      </c>
      <c r="C354" s="163" t="s">
        <v>25</v>
      </c>
      <c r="D354" s="205"/>
      <c r="E354" s="204" t="s">
        <v>99</v>
      </c>
      <c r="F354" s="204" t="s">
        <v>121</v>
      </c>
      <c r="G354" s="204" t="s">
        <v>116</v>
      </c>
      <c r="H354" s="120"/>
      <c r="I354" s="120"/>
    </row>
    <row r="355" spans="2:9" x14ac:dyDescent="0.35">
      <c r="B355" s="208" t="s">
        <v>132</v>
      </c>
      <c r="C355" s="163" t="s">
        <v>59</v>
      </c>
      <c r="D355" s="205"/>
      <c r="E355" s="204" t="s">
        <v>99</v>
      </c>
      <c r="F355" s="204" t="s">
        <v>121</v>
      </c>
      <c r="G355" s="204" t="s">
        <v>116</v>
      </c>
      <c r="H355" s="120"/>
      <c r="I355" s="120"/>
    </row>
    <row r="356" spans="2:9" x14ac:dyDescent="0.35">
      <c r="B356" s="208" t="s">
        <v>133</v>
      </c>
      <c r="C356" s="163" t="s">
        <v>59</v>
      </c>
      <c r="D356" s="205"/>
      <c r="E356" s="204" t="s">
        <v>99</v>
      </c>
      <c r="F356" s="204" t="s">
        <v>121</v>
      </c>
      <c r="G356" s="204" t="s">
        <v>116</v>
      </c>
      <c r="H356" s="120"/>
      <c r="I356" s="120"/>
    </row>
    <row r="357" spans="2:9" x14ac:dyDescent="0.35">
      <c r="B357" s="208" t="s">
        <v>62</v>
      </c>
      <c r="C357" s="163" t="s">
        <v>60</v>
      </c>
      <c r="D357" s="205"/>
      <c r="E357" s="204" t="s">
        <v>99</v>
      </c>
      <c r="F357" s="204" t="s">
        <v>121</v>
      </c>
      <c r="G357" s="204" t="s">
        <v>116</v>
      </c>
      <c r="H357" s="120"/>
      <c r="I357" s="120"/>
    </row>
    <row r="358" spans="2:9" x14ac:dyDescent="0.35">
      <c r="B358" s="208" t="s">
        <v>134</v>
      </c>
      <c r="C358" s="163" t="s">
        <v>59</v>
      </c>
      <c r="D358" s="205">
        <v>0.745</v>
      </c>
      <c r="E358" s="204" t="s">
        <v>99</v>
      </c>
      <c r="F358" s="204" t="s">
        <v>121</v>
      </c>
      <c r="G358" s="204" t="s">
        <v>116</v>
      </c>
      <c r="H358" s="120"/>
      <c r="I358" s="120"/>
    </row>
    <row r="359" spans="2:9" x14ac:dyDescent="0.35">
      <c r="B359" s="209" t="s">
        <v>135</v>
      </c>
      <c r="C359" s="163" t="s">
        <v>59</v>
      </c>
      <c r="D359" s="205">
        <v>44</v>
      </c>
      <c r="E359" s="204" t="s">
        <v>99</v>
      </c>
      <c r="F359" s="204" t="s">
        <v>121</v>
      </c>
      <c r="G359" s="204" t="s">
        <v>116</v>
      </c>
      <c r="H359" s="120"/>
      <c r="I359" s="120"/>
    </row>
    <row r="360" spans="2:9" x14ac:dyDescent="0.35">
      <c r="B360" s="209" t="s">
        <v>136</v>
      </c>
      <c r="C360" s="163" t="s">
        <v>59</v>
      </c>
      <c r="D360" s="205">
        <v>45</v>
      </c>
      <c r="E360" s="204" t="s">
        <v>99</v>
      </c>
      <c r="F360" s="204" t="s">
        <v>121</v>
      </c>
      <c r="G360" s="204" t="s">
        <v>116</v>
      </c>
      <c r="H360" s="120"/>
      <c r="I360" s="120"/>
    </row>
    <row r="361" spans="2:9" ht="28.5" x14ac:dyDescent="0.35">
      <c r="B361" s="206" t="s">
        <v>40</v>
      </c>
      <c r="C361" s="158" t="s">
        <v>26</v>
      </c>
      <c r="D361" s="205"/>
      <c r="E361" s="204" t="s">
        <v>99</v>
      </c>
      <c r="F361" s="204" t="s">
        <v>121</v>
      </c>
      <c r="G361" s="204" t="s">
        <v>116</v>
      </c>
      <c r="H361" s="120"/>
      <c r="I361" s="120"/>
    </row>
    <row r="362" spans="2:9" x14ac:dyDescent="0.35">
      <c r="B362" s="207" t="s">
        <v>61</v>
      </c>
      <c r="C362" s="158" t="s">
        <v>26</v>
      </c>
      <c r="D362" s="205"/>
      <c r="E362" s="204" t="s">
        <v>99</v>
      </c>
      <c r="F362" s="204" t="s">
        <v>121</v>
      </c>
      <c r="G362" s="204" t="s">
        <v>116</v>
      </c>
      <c r="H362" s="120"/>
      <c r="I362" s="120"/>
    </row>
    <row r="363" spans="2:9" x14ac:dyDescent="0.35">
      <c r="B363" s="207" t="s">
        <v>129</v>
      </c>
      <c r="C363" s="158" t="s">
        <v>26</v>
      </c>
      <c r="D363" s="205"/>
      <c r="E363" s="204" t="s">
        <v>99</v>
      </c>
      <c r="F363" s="204" t="s">
        <v>121</v>
      </c>
      <c r="G363" s="204" t="s">
        <v>116</v>
      </c>
      <c r="H363" s="120"/>
      <c r="I363" s="120"/>
    </row>
    <row r="364" spans="2:9" x14ac:dyDescent="0.35">
      <c r="B364" s="207" t="s">
        <v>130</v>
      </c>
      <c r="C364" s="158" t="s">
        <v>26</v>
      </c>
      <c r="D364" s="205"/>
      <c r="E364" s="204" t="s">
        <v>99</v>
      </c>
      <c r="F364" s="204" t="s">
        <v>121</v>
      </c>
      <c r="G364" s="204" t="s">
        <v>116</v>
      </c>
      <c r="H364" s="120"/>
      <c r="I364" s="120"/>
    </row>
    <row r="365" spans="2:9" x14ac:dyDescent="0.35">
      <c r="B365" s="207" t="s">
        <v>71</v>
      </c>
      <c r="C365" s="158" t="s">
        <v>26</v>
      </c>
      <c r="D365" s="205"/>
      <c r="E365" s="204" t="s">
        <v>99</v>
      </c>
      <c r="F365" s="204" t="s">
        <v>121</v>
      </c>
      <c r="G365" s="204" t="s">
        <v>116</v>
      </c>
    </row>
    <row r="366" spans="2:9" x14ac:dyDescent="0.35">
      <c r="B366" s="207" t="s">
        <v>131</v>
      </c>
      <c r="C366" s="158" t="s">
        <v>26</v>
      </c>
      <c r="D366" s="205"/>
      <c r="E366" s="204" t="s">
        <v>99</v>
      </c>
      <c r="F366" s="204" t="s">
        <v>121</v>
      </c>
      <c r="G366" s="204" t="s">
        <v>116</v>
      </c>
    </row>
    <row r="367" spans="2:9" x14ac:dyDescent="0.35">
      <c r="B367" s="207" t="s">
        <v>132</v>
      </c>
      <c r="C367" s="158" t="s">
        <v>26</v>
      </c>
      <c r="D367" s="205"/>
      <c r="E367" s="204" t="s">
        <v>99</v>
      </c>
      <c r="F367" s="204" t="s">
        <v>121</v>
      </c>
      <c r="G367" s="204" t="s">
        <v>116</v>
      </c>
    </row>
    <row r="368" spans="2:9" x14ac:dyDescent="0.35">
      <c r="B368" s="207" t="s">
        <v>133</v>
      </c>
      <c r="C368" s="158" t="s">
        <v>26</v>
      </c>
      <c r="D368" s="205"/>
      <c r="E368" s="204" t="s">
        <v>99</v>
      </c>
      <c r="F368" s="204" t="s">
        <v>121</v>
      </c>
      <c r="G368" s="204" t="s">
        <v>116</v>
      </c>
    </row>
    <row r="369" spans="2:7" x14ac:dyDescent="0.35">
      <c r="B369" s="207" t="s">
        <v>62</v>
      </c>
      <c r="C369" s="158" t="s">
        <v>26</v>
      </c>
      <c r="D369" s="205"/>
      <c r="E369" s="204" t="s">
        <v>99</v>
      </c>
      <c r="F369" s="204" t="s">
        <v>121</v>
      </c>
      <c r="G369" s="204" t="s">
        <v>116</v>
      </c>
    </row>
    <row r="370" spans="2:7" x14ac:dyDescent="0.35">
      <c r="B370" s="207" t="s">
        <v>134</v>
      </c>
      <c r="C370" s="158" t="s">
        <v>26</v>
      </c>
      <c r="D370" s="205">
        <v>4.76</v>
      </c>
      <c r="E370" s="204" t="s">
        <v>99</v>
      </c>
      <c r="F370" s="204" t="s">
        <v>121</v>
      </c>
      <c r="G370" s="204" t="s">
        <v>116</v>
      </c>
    </row>
    <row r="371" spans="2:7" x14ac:dyDescent="0.35">
      <c r="B371" s="207" t="s">
        <v>135</v>
      </c>
      <c r="C371" s="158" t="s">
        <v>26</v>
      </c>
      <c r="D371" s="205">
        <v>0.06</v>
      </c>
      <c r="E371" s="204" t="s">
        <v>99</v>
      </c>
      <c r="F371" s="204" t="s">
        <v>121</v>
      </c>
      <c r="G371" s="204" t="s">
        <v>116</v>
      </c>
    </row>
    <row r="372" spans="2:7" x14ac:dyDescent="0.35">
      <c r="B372" s="207" t="s">
        <v>137</v>
      </c>
      <c r="C372" s="158" t="s">
        <v>26</v>
      </c>
      <c r="D372" s="205">
        <v>0.06</v>
      </c>
      <c r="E372" s="204" t="s">
        <v>99</v>
      </c>
      <c r="F372" s="204" t="s">
        <v>121</v>
      </c>
      <c r="G372" s="204" t="s">
        <v>116</v>
      </c>
    </row>
    <row r="373" spans="2:7" ht="56.5" x14ac:dyDescent="0.35">
      <c r="B373" s="113" t="s">
        <v>100</v>
      </c>
      <c r="C373" s="114"/>
      <c r="D373" s="229">
        <v>4.0498159999999999</v>
      </c>
      <c r="E373" s="204" t="s">
        <v>122</v>
      </c>
      <c r="F373" s="204" t="s">
        <v>121</v>
      </c>
      <c r="G373" s="204" t="s">
        <v>116</v>
      </c>
    </row>
    <row r="374" spans="2:7" ht="28.5" x14ac:dyDescent="0.35">
      <c r="B374" s="206" t="s">
        <v>39</v>
      </c>
      <c r="C374" s="158"/>
      <c r="D374" s="219"/>
      <c r="E374" s="204" t="s">
        <v>122</v>
      </c>
      <c r="F374" s="204" t="s">
        <v>121</v>
      </c>
      <c r="G374" s="204" t="s">
        <v>116</v>
      </c>
    </row>
    <row r="375" spans="2:7" x14ac:dyDescent="0.35">
      <c r="B375" s="207" t="s">
        <v>61</v>
      </c>
      <c r="C375" s="158" t="s">
        <v>25</v>
      </c>
      <c r="D375" s="219"/>
      <c r="E375" s="204" t="s">
        <v>122</v>
      </c>
      <c r="F375" s="204" t="s">
        <v>121</v>
      </c>
      <c r="G375" s="204" t="s">
        <v>116</v>
      </c>
    </row>
    <row r="376" spans="2:7" x14ac:dyDescent="0.35">
      <c r="B376" s="208" t="s">
        <v>129</v>
      </c>
      <c r="C376" s="163" t="s">
        <v>25</v>
      </c>
      <c r="D376" s="219"/>
      <c r="E376" s="204" t="s">
        <v>122</v>
      </c>
      <c r="F376" s="204" t="s">
        <v>121</v>
      </c>
      <c r="G376" s="204" t="s">
        <v>116</v>
      </c>
    </row>
    <row r="377" spans="2:7" x14ac:dyDescent="0.35">
      <c r="B377" s="208" t="s">
        <v>130</v>
      </c>
      <c r="C377" s="163" t="s">
        <v>25</v>
      </c>
      <c r="D377" s="219"/>
      <c r="E377" s="204" t="s">
        <v>122</v>
      </c>
      <c r="F377" s="204" t="s">
        <v>121</v>
      </c>
      <c r="G377" s="204" t="s">
        <v>116</v>
      </c>
    </row>
    <row r="378" spans="2:7" x14ac:dyDescent="0.35">
      <c r="B378" s="208" t="s">
        <v>71</v>
      </c>
      <c r="C378" s="163" t="s">
        <v>25</v>
      </c>
      <c r="D378" s="219"/>
      <c r="E378" s="204" t="s">
        <v>122</v>
      </c>
      <c r="F378" s="204" t="s">
        <v>121</v>
      </c>
      <c r="G378" s="204" t="s">
        <v>116</v>
      </c>
    </row>
    <row r="379" spans="2:7" x14ac:dyDescent="0.35">
      <c r="B379" s="208" t="s">
        <v>131</v>
      </c>
      <c r="C379" s="163" t="s">
        <v>25</v>
      </c>
      <c r="D379" s="219"/>
      <c r="E379" s="204" t="s">
        <v>122</v>
      </c>
      <c r="F379" s="204" t="s">
        <v>121</v>
      </c>
      <c r="G379" s="204" t="s">
        <v>116</v>
      </c>
    </row>
    <row r="380" spans="2:7" x14ac:dyDescent="0.35">
      <c r="B380" s="208" t="s">
        <v>132</v>
      </c>
      <c r="C380" s="163" t="s">
        <v>59</v>
      </c>
      <c r="D380" s="219"/>
      <c r="E380" s="204" t="s">
        <v>122</v>
      </c>
      <c r="F380" s="204" t="s">
        <v>121</v>
      </c>
      <c r="G380" s="204" t="s">
        <v>116</v>
      </c>
    </row>
    <row r="381" spans="2:7" x14ac:dyDescent="0.35">
      <c r="B381" s="208" t="s">
        <v>133</v>
      </c>
      <c r="C381" s="163" t="s">
        <v>59</v>
      </c>
      <c r="D381" s="219"/>
      <c r="E381" s="204" t="s">
        <v>122</v>
      </c>
      <c r="F381" s="204" t="s">
        <v>121</v>
      </c>
      <c r="G381" s="204" t="s">
        <v>116</v>
      </c>
    </row>
    <row r="382" spans="2:7" x14ac:dyDescent="0.35">
      <c r="B382" s="208" t="s">
        <v>62</v>
      </c>
      <c r="C382" s="163" t="s">
        <v>60</v>
      </c>
      <c r="D382" s="219"/>
      <c r="E382" s="204" t="s">
        <v>122</v>
      </c>
      <c r="F382" s="204" t="s">
        <v>121</v>
      </c>
      <c r="G382" s="204" t="s">
        <v>116</v>
      </c>
    </row>
    <row r="383" spans="2:7" x14ac:dyDescent="0.35">
      <c r="B383" s="208" t="s">
        <v>134</v>
      </c>
      <c r="C383" s="163" t="s">
        <v>59</v>
      </c>
      <c r="D383" s="219">
        <v>0.34660000000000002</v>
      </c>
      <c r="E383" s="204" t="s">
        <v>122</v>
      </c>
      <c r="F383" s="204" t="s">
        <v>121</v>
      </c>
      <c r="G383" s="204" t="s">
        <v>116</v>
      </c>
    </row>
    <row r="384" spans="2:7" x14ac:dyDescent="0.35">
      <c r="B384" s="209" t="s">
        <v>135</v>
      </c>
      <c r="C384" s="163" t="s">
        <v>59</v>
      </c>
      <c r="D384" s="219">
        <v>20</v>
      </c>
      <c r="E384" s="204" t="s">
        <v>122</v>
      </c>
      <c r="F384" s="204" t="s">
        <v>121</v>
      </c>
      <c r="G384" s="204" t="s">
        <v>116</v>
      </c>
    </row>
    <row r="385" spans="2:7" x14ac:dyDescent="0.35">
      <c r="B385" s="209" t="s">
        <v>136</v>
      </c>
      <c r="C385" s="163" t="s">
        <v>59</v>
      </c>
      <c r="D385" s="219">
        <v>20</v>
      </c>
      <c r="E385" s="204" t="s">
        <v>122</v>
      </c>
      <c r="F385" s="204" t="s">
        <v>121</v>
      </c>
      <c r="G385" s="204" t="s">
        <v>116</v>
      </c>
    </row>
    <row r="386" spans="2:7" ht="28.5" x14ac:dyDescent="0.35">
      <c r="B386" s="206" t="s">
        <v>40</v>
      </c>
      <c r="C386" s="158" t="s">
        <v>26</v>
      </c>
      <c r="D386" s="219"/>
      <c r="E386" s="204" t="s">
        <v>122</v>
      </c>
      <c r="F386" s="204" t="s">
        <v>121</v>
      </c>
      <c r="G386" s="204" t="s">
        <v>116</v>
      </c>
    </row>
    <row r="387" spans="2:7" x14ac:dyDescent="0.35">
      <c r="B387" s="207" t="s">
        <v>61</v>
      </c>
      <c r="C387" s="158" t="s">
        <v>26</v>
      </c>
      <c r="D387" s="219"/>
      <c r="E387" s="204" t="s">
        <v>122</v>
      </c>
      <c r="F387" s="204" t="s">
        <v>121</v>
      </c>
      <c r="G387" s="204" t="s">
        <v>116</v>
      </c>
    </row>
    <row r="388" spans="2:7" x14ac:dyDescent="0.35">
      <c r="B388" s="207" t="s">
        <v>129</v>
      </c>
      <c r="C388" s="158" t="s">
        <v>26</v>
      </c>
      <c r="D388" s="219"/>
      <c r="E388" s="204" t="s">
        <v>122</v>
      </c>
      <c r="F388" s="204" t="s">
        <v>121</v>
      </c>
      <c r="G388" s="204" t="s">
        <v>116</v>
      </c>
    </row>
    <row r="389" spans="2:7" x14ac:dyDescent="0.35">
      <c r="B389" s="207" t="s">
        <v>130</v>
      </c>
      <c r="C389" s="158" t="s">
        <v>26</v>
      </c>
      <c r="D389" s="219"/>
      <c r="E389" s="204" t="s">
        <v>122</v>
      </c>
      <c r="F389" s="204" t="s">
        <v>121</v>
      </c>
      <c r="G389" s="204" t="s">
        <v>116</v>
      </c>
    </row>
    <row r="390" spans="2:7" x14ac:dyDescent="0.35">
      <c r="B390" s="207" t="s">
        <v>71</v>
      </c>
      <c r="C390" s="158" t="s">
        <v>26</v>
      </c>
      <c r="D390" s="219"/>
      <c r="E390" s="204" t="s">
        <v>122</v>
      </c>
      <c r="F390" s="204" t="s">
        <v>121</v>
      </c>
      <c r="G390" s="204" t="s">
        <v>116</v>
      </c>
    </row>
    <row r="391" spans="2:7" x14ac:dyDescent="0.35">
      <c r="B391" s="207" t="s">
        <v>131</v>
      </c>
      <c r="C391" s="158" t="s">
        <v>26</v>
      </c>
      <c r="D391" s="218"/>
      <c r="E391" s="204" t="s">
        <v>122</v>
      </c>
      <c r="F391" s="204" t="s">
        <v>121</v>
      </c>
      <c r="G391" s="204" t="s">
        <v>116</v>
      </c>
    </row>
    <row r="392" spans="2:7" x14ac:dyDescent="0.35">
      <c r="B392" s="207" t="s">
        <v>132</v>
      </c>
      <c r="C392" s="158" t="s">
        <v>26</v>
      </c>
      <c r="D392" s="205"/>
      <c r="E392" s="204" t="s">
        <v>122</v>
      </c>
      <c r="F392" s="204" t="s">
        <v>121</v>
      </c>
      <c r="G392" s="204" t="s">
        <v>116</v>
      </c>
    </row>
    <row r="393" spans="2:7" x14ac:dyDescent="0.35">
      <c r="B393" s="207" t="s">
        <v>133</v>
      </c>
      <c r="C393" s="158" t="s">
        <v>26</v>
      </c>
      <c r="D393" s="205"/>
      <c r="E393" s="204" t="s">
        <v>122</v>
      </c>
      <c r="F393" s="204" t="s">
        <v>121</v>
      </c>
      <c r="G393" s="204" t="s">
        <v>116</v>
      </c>
    </row>
    <row r="394" spans="2:7" x14ac:dyDescent="0.35">
      <c r="B394" s="207" t="s">
        <v>62</v>
      </c>
      <c r="C394" s="158" t="s">
        <v>26</v>
      </c>
      <c r="D394" s="205"/>
      <c r="E394" s="204" t="s">
        <v>122</v>
      </c>
      <c r="F394" s="204" t="s">
        <v>121</v>
      </c>
      <c r="G394" s="204" t="s">
        <v>116</v>
      </c>
    </row>
    <row r="395" spans="2:7" x14ac:dyDescent="0.35">
      <c r="B395" s="207" t="s">
        <v>134</v>
      </c>
      <c r="C395" s="158" t="s">
        <v>26</v>
      </c>
      <c r="D395" s="205">
        <v>4.76</v>
      </c>
      <c r="E395" s="204" t="s">
        <v>122</v>
      </c>
      <c r="F395" s="204" t="s">
        <v>121</v>
      </c>
      <c r="G395" s="204" t="s">
        <v>116</v>
      </c>
    </row>
    <row r="396" spans="2:7" x14ac:dyDescent="0.35">
      <c r="B396" s="207" t="s">
        <v>135</v>
      </c>
      <c r="C396" s="158" t="s">
        <v>26</v>
      </c>
      <c r="D396" s="205">
        <v>0.06</v>
      </c>
      <c r="E396" s="204" t="s">
        <v>122</v>
      </c>
      <c r="F396" s="204" t="s">
        <v>121</v>
      </c>
      <c r="G396" s="204" t="s">
        <v>116</v>
      </c>
    </row>
    <row r="397" spans="2:7" x14ac:dyDescent="0.35">
      <c r="B397" s="207" t="s">
        <v>137</v>
      </c>
      <c r="C397" s="158" t="s">
        <v>26</v>
      </c>
      <c r="D397" s="205">
        <v>0.06</v>
      </c>
      <c r="E397" s="204" t="s">
        <v>122</v>
      </c>
      <c r="F397" s="204" t="s">
        <v>121</v>
      </c>
      <c r="G397" s="204" t="s">
        <v>116</v>
      </c>
    </row>
    <row r="398" spans="2:7" ht="56.5" x14ac:dyDescent="0.35">
      <c r="B398" s="113" t="s">
        <v>100</v>
      </c>
      <c r="C398" s="114"/>
      <c r="D398" s="218">
        <v>96.59999999999998</v>
      </c>
      <c r="E398" s="204" t="s">
        <v>123</v>
      </c>
      <c r="F398" s="204" t="s">
        <v>121</v>
      </c>
      <c r="G398" s="204" t="s">
        <v>116</v>
      </c>
    </row>
    <row r="399" spans="2:7" ht="28.5" x14ac:dyDescent="0.35">
      <c r="B399" s="206" t="s">
        <v>39</v>
      </c>
      <c r="C399" s="158"/>
      <c r="D399" s="205"/>
      <c r="E399" s="204" t="s">
        <v>123</v>
      </c>
      <c r="F399" s="204" t="s">
        <v>121</v>
      </c>
      <c r="G399" s="204" t="s">
        <v>116</v>
      </c>
    </row>
    <row r="400" spans="2:7" x14ac:dyDescent="0.35">
      <c r="B400" s="207" t="s">
        <v>61</v>
      </c>
      <c r="C400" s="158" t="s">
        <v>25</v>
      </c>
      <c r="D400" s="205">
        <v>5</v>
      </c>
      <c r="E400" s="204" t="s">
        <v>123</v>
      </c>
      <c r="F400" s="204" t="s">
        <v>121</v>
      </c>
      <c r="G400" s="204" t="s">
        <v>116</v>
      </c>
    </row>
    <row r="401" spans="2:7" x14ac:dyDescent="0.35">
      <c r="B401" s="208" t="s">
        <v>129</v>
      </c>
      <c r="C401" s="163" t="s">
        <v>25</v>
      </c>
      <c r="D401" s="205">
        <v>5</v>
      </c>
      <c r="E401" s="204" t="s">
        <v>123</v>
      </c>
      <c r="F401" s="204" t="s">
        <v>121</v>
      </c>
      <c r="G401" s="204" t="s">
        <v>116</v>
      </c>
    </row>
    <row r="402" spans="2:7" x14ac:dyDescent="0.35">
      <c r="B402" s="208" t="s">
        <v>130</v>
      </c>
      <c r="C402" s="163" t="s">
        <v>25</v>
      </c>
      <c r="D402" s="205">
        <v>2</v>
      </c>
      <c r="E402" s="204" t="s">
        <v>123</v>
      </c>
      <c r="F402" s="204" t="s">
        <v>121</v>
      </c>
      <c r="G402" s="204" t="s">
        <v>116</v>
      </c>
    </row>
    <row r="403" spans="2:7" x14ac:dyDescent="0.35">
      <c r="B403" s="208" t="s">
        <v>71</v>
      </c>
      <c r="C403" s="163" t="s">
        <v>25</v>
      </c>
      <c r="D403" s="205">
        <v>10</v>
      </c>
      <c r="E403" s="204" t="s">
        <v>123</v>
      </c>
      <c r="F403" s="204" t="s">
        <v>121</v>
      </c>
      <c r="G403" s="204" t="s">
        <v>116</v>
      </c>
    </row>
    <row r="404" spans="2:7" x14ac:dyDescent="0.35">
      <c r="B404" s="208" t="s">
        <v>131</v>
      </c>
      <c r="C404" s="163" t="s">
        <v>25</v>
      </c>
      <c r="D404" s="205">
        <v>5</v>
      </c>
      <c r="E404" s="204" t="s">
        <v>123</v>
      </c>
      <c r="F404" s="204" t="s">
        <v>121</v>
      </c>
      <c r="G404" s="204" t="s">
        <v>116</v>
      </c>
    </row>
    <row r="405" spans="2:7" x14ac:dyDescent="0.35">
      <c r="B405" s="208" t="s">
        <v>132</v>
      </c>
      <c r="C405" s="163" t="s">
        <v>59</v>
      </c>
      <c r="D405" s="205">
        <v>1</v>
      </c>
      <c r="E405" s="204" t="s">
        <v>123</v>
      </c>
      <c r="F405" s="204" t="s">
        <v>121</v>
      </c>
      <c r="G405" s="204" t="s">
        <v>116</v>
      </c>
    </row>
    <row r="406" spans="2:7" x14ac:dyDescent="0.35">
      <c r="B406" s="208" t="s">
        <v>133</v>
      </c>
      <c r="C406" s="163" t="s">
        <v>59</v>
      </c>
      <c r="D406" s="205">
        <v>1</v>
      </c>
      <c r="E406" s="204" t="s">
        <v>123</v>
      </c>
      <c r="F406" s="204" t="s">
        <v>121</v>
      </c>
      <c r="G406" s="204" t="s">
        <v>116</v>
      </c>
    </row>
    <row r="407" spans="2:7" x14ac:dyDescent="0.35">
      <c r="B407" s="208" t="s">
        <v>62</v>
      </c>
      <c r="C407" s="163" t="s">
        <v>60</v>
      </c>
      <c r="D407" s="205">
        <v>66</v>
      </c>
      <c r="E407" s="204" t="s">
        <v>123</v>
      </c>
      <c r="F407" s="204" t="s">
        <v>121</v>
      </c>
      <c r="G407" s="204" t="s">
        <v>116</v>
      </c>
    </row>
    <row r="408" spans="2:7" x14ac:dyDescent="0.35">
      <c r="B408" s="208" t="s">
        <v>134</v>
      </c>
      <c r="C408" s="163" t="s">
        <v>59</v>
      </c>
      <c r="D408" s="205"/>
      <c r="E408" s="204" t="s">
        <v>123</v>
      </c>
      <c r="F408" s="204" t="s">
        <v>121</v>
      </c>
      <c r="G408" s="204" t="s">
        <v>116</v>
      </c>
    </row>
    <row r="409" spans="2:7" x14ac:dyDescent="0.35">
      <c r="B409" s="209" t="s">
        <v>135</v>
      </c>
      <c r="C409" s="163" t="s">
        <v>59</v>
      </c>
      <c r="D409" s="205"/>
      <c r="E409" s="204" t="s">
        <v>123</v>
      </c>
      <c r="F409" s="204" t="s">
        <v>121</v>
      </c>
      <c r="G409" s="204" t="s">
        <v>116</v>
      </c>
    </row>
    <row r="410" spans="2:7" x14ac:dyDescent="0.35">
      <c r="B410" s="209" t="s">
        <v>136</v>
      </c>
      <c r="C410" s="163" t="s">
        <v>59</v>
      </c>
      <c r="D410" s="205"/>
      <c r="E410" s="204" t="s">
        <v>123</v>
      </c>
      <c r="F410" s="204" t="s">
        <v>121</v>
      </c>
      <c r="G410" s="204" t="s">
        <v>116</v>
      </c>
    </row>
    <row r="411" spans="2:7" ht="28.5" x14ac:dyDescent="0.35">
      <c r="B411" s="206" t="s">
        <v>40</v>
      </c>
      <c r="C411" s="158" t="s">
        <v>26</v>
      </c>
      <c r="D411" s="205"/>
      <c r="E411" s="204" t="s">
        <v>123</v>
      </c>
      <c r="F411" s="204" t="s">
        <v>121</v>
      </c>
      <c r="G411" s="204" t="s">
        <v>116</v>
      </c>
    </row>
    <row r="412" spans="2:7" x14ac:dyDescent="0.35">
      <c r="B412" s="207" t="s">
        <v>61</v>
      </c>
      <c r="C412" s="158" t="s">
        <v>26</v>
      </c>
      <c r="D412" s="205">
        <v>2.472</v>
      </c>
      <c r="E412" s="204" t="s">
        <v>123</v>
      </c>
      <c r="F412" s="204" t="s">
        <v>121</v>
      </c>
      <c r="G412" s="204" t="s">
        <v>116</v>
      </c>
    </row>
    <row r="413" spans="2:7" x14ac:dyDescent="0.35">
      <c r="B413" s="207" t="s">
        <v>129</v>
      </c>
      <c r="C413" s="158" t="s">
        <v>26</v>
      </c>
      <c r="D413" s="205">
        <v>2.5139999999999998</v>
      </c>
      <c r="E413" s="204" t="s">
        <v>123</v>
      </c>
      <c r="F413" s="204" t="s">
        <v>121</v>
      </c>
      <c r="G413" s="204" t="s">
        <v>116</v>
      </c>
    </row>
    <row r="414" spans="2:7" x14ac:dyDescent="0.35">
      <c r="B414" s="207" t="s">
        <v>130</v>
      </c>
      <c r="C414" s="158" t="s">
        <v>26</v>
      </c>
      <c r="D414" s="205">
        <v>5.31</v>
      </c>
      <c r="E414" s="204" t="s">
        <v>123</v>
      </c>
      <c r="F414" s="204" t="s">
        <v>121</v>
      </c>
      <c r="G414" s="204" t="s">
        <v>116</v>
      </c>
    </row>
    <row r="415" spans="2:7" x14ac:dyDescent="0.35">
      <c r="B415" s="207" t="s">
        <v>71</v>
      </c>
      <c r="C415" s="158" t="s">
        <v>26</v>
      </c>
      <c r="D415" s="205">
        <v>2.86</v>
      </c>
      <c r="E415" s="204" t="s">
        <v>123</v>
      </c>
      <c r="F415" s="204" t="s">
        <v>121</v>
      </c>
      <c r="G415" s="204" t="s">
        <v>116</v>
      </c>
    </row>
    <row r="416" spans="2:7" x14ac:dyDescent="0.35">
      <c r="B416" s="207" t="s">
        <v>131</v>
      </c>
      <c r="C416" s="158" t="s">
        <v>26</v>
      </c>
      <c r="D416" s="205">
        <v>3.0459999999999998</v>
      </c>
      <c r="E416" s="204" t="s">
        <v>123</v>
      </c>
      <c r="F416" s="204" t="s">
        <v>121</v>
      </c>
      <c r="G416" s="204" t="s">
        <v>116</v>
      </c>
    </row>
    <row r="417" spans="2:7" x14ac:dyDescent="0.35">
      <c r="B417" s="207" t="s">
        <v>132</v>
      </c>
      <c r="C417" s="158" t="s">
        <v>26</v>
      </c>
      <c r="D417" s="205">
        <v>1.38</v>
      </c>
      <c r="E417" s="204" t="s">
        <v>123</v>
      </c>
      <c r="F417" s="204" t="s">
        <v>121</v>
      </c>
      <c r="G417" s="204" t="s">
        <v>116</v>
      </c>
    </row>
    <row r="418" spans="2:7" x14ac:dyDescent="0.35">
      <c r="B418" s="207" t="s">
        <v>133</v>
      </c>
      <c r="C418" s="158" t="s">
        <v>26</v>
      </c>
      <c r="D418" s="205">
        <v>1.32</v>
      </c>
      <c r="E418" s="204" t="s">
        <v>123</v>
      </c>
      <c r="F418" s="204" t="s">
        <v>121</v>
      </c>
      <c r="G418" s="204" t="s">
        <v>116</v>
      </c>
    </row>
    <row r="419" spans="2:7" x14ac:dyDescent="0.35">
      <c r="B419" s="207" t="s">
        <v>62</v>
      </c>
      <c r="C419" s="158" t="s">
        <v>26</v>
      </c>
      <c r="D419" s="205">
        <v>0.22</v>
      </c>
      <c r="E419" s="204" t="s">
        <v>123</v>
      </c>
      <c r="F419" s="204" t="s">
        <v>121</v>
      </c>
      <c r="G419" s="204" t="s">
        <v>116</v>
      </c>
    </row>
    <row r="420" spans="2:7" x14ac:dyDescent="0.35">
      <c r="B420" s="207" t="s">
        <v>134</v>
      </c>
      <c r="C420" s="158" t="s">
        <v>26</v>
      </c>
      <c r="D420" s="205"/>
      <c r="E420" s="204" t="s">
        <v>123</v>
      </c>
      <c r="F420" s="204" t="s">
        <v>121</v>
      </c>
      <c r="G420" s="204" t="s">
        <v>116</v>
      </c>
    </row>
    <row r="421" spans="2:7" x14ac:dyDescent="0.35">
      <c r="B421" s="207" t="s">
        <v>135</v>
      </c>
      <c r="C421" s="158" t="s">
        <v>26</v>
      </c>
      <c r="D421" s="205"/>
      <c r="E421" s="204" t="s">
        <v>123</v>
      </c>
      <c r="F421" s="204" t="s">
        <v>121</v>
      </c>
      <c r="G421" s="204" t="s">
        <v>116</v>
      </c>
    </row>
    <row r="422" spans="2:7" x14ac:dyDescent="0.35">
      <c r="B422" s="207" t="s">
        <v>137</v>
      </c>
      <c r="C422" s="158" t="s">
        <v>26</v>
      </c>
      <c r="D422" s="205"/>
      <c r="E422" s="204" t="s">
        <v>123</v>
      </c>
      <c r="F422" s="204" t="s">
        <v>121</v>
      </c>
      <c r="G422" s="204" t="s">
        <v>116</v>
      </c>
    </row>
    <row r="423" spans="2:7" ht="28.5" x14ac:dyDescent="0.35">
      <c r="B423" s="226" t="s">
        <v>101</v>
      </c>
      <c r="C423" s="227"/>
      <c r="D423" s="218">
        <v>15499.471908594263</v>
      </c>
      <c r="E423" s="204" t="s">
        <v>99</v>
      </c>
      <c r="F423" s="204" t="s">
        <v>121</v>
      </c>
      <c r="G423" s="204" t="s">
        <v>116</v>
      </c>
    </row>
    <row r="424" spans="2:7" ht="56.5" x14ac:dyDescent="0.35">
      <c r="B424" s="118" t="s">
        <v>117</v>
      </c>
      <c r="C424" s="106" t="s">
        <v>30</v>
      </c>
      <c r="D424" s="205">
        <v>110380.73</v>
      </c>
      <c r="E424" s="204" t="s">
        <v>99</v>
      </c>
      <c r="F424" s="204" t="s">
        <v>121</v>
      </c>
      <c r="G424" s="204" t="s">
        <v>116</v>
      </c>
    </row>
    <row r="425" spans="2:7" x14ac:dyDescent="0.35">
      <c r="B425" s="118" t="s">
        <v>118</v>
      </c>
      <c r="C425" s="106" t="s">
        <v>7</v>
      </c>
      <c r="D425" s="205">
        <v>185411.79999999996</v>
      </c>
      <c r="E425" s="204" t="s">
        <v>99</v>
      </c>
      <c r="F425" s="204" t="s">
        <v>121</v>
      </c>
      <c r="G425" s="204" t="s">
        <v>116</v>
      </c>
    </row>
    <row r="426" spans="2:7" ht="56.5" x14ac:dyDescent="0.35">
      <c r="B426" s="118" t="s">
        <v>119</v>
      </c>
      <c r="C426" s="106" t="s">
        <v>30</v>
      </c>
      <c r="D426" s="205">
        <v>169015.44</v>
      </c>
      <c r="E426" s="204" t="s">
        <v>99</v>
      </c>
      <c r="F426" s="204" t="s">
        <v>121</v>
      </c>
      <c r="G426" s="204" t="s">
        <v>116</v>
      </c>
    </row>
    <row r="427" spans="2:7" x14ac:dyDescent="0.35">
      <c r="B427" s="118" t="s">
        <v>120</v>
      </c>
      <c r="C427" s="106" t="s">
        <v>7</v>
      </c>
      <c r="D427" s="205">
        <v>248946.66900000008</v>
      </c>
      <c r="E427" s="204" t="s">
        <v>99</v>
      </c>
      <c r="F427" s="204" t="s">
        <v>121</v>
      </c>
      <c r="G427" s="204" t="s">
        <v>116</v>
      </c>
    </row>
    <row r="428" spans="2:7" ht="28.5" x14ac:dyDescent="0.35">
      <c r="B428" s="226" t="s">
        <v>101</v>
      </c>
      <c r="C428" s="227"/>
      <c r="D428" s="218">
        <v>10485.040928081298</v>
      </c>
      <c r="E428" s="204" t="s">
        <v>122</v>
      </c>
      <c r="F428" s="204" t="s">
        <v>121</v>
      </c>
      <c r="G428" s="204" t="s">
        <v>116</v>
      </c>
    </row>
    <row r="429" spans="2:7" ht="56.5" x14ac:dyDescent="0.35">
      <c r="B429" s="118" t="s">
        <v>117</v>
      </c>
      <c r="C429" s="106" t="s">
        <v>30</v>
      </c>
      <c r="D429" s="205">
        <v>45565.9</v>
      </c>
      <c r="E429" s="204" t="s">
        <v>122</v>
      </c>
      <c r="F429" s="204" t="s">
        <v>121</v>
      </c>
      <c r="G429" s="204" t="s">
        <v>116</v>
      </c>
    </row>
    <row r="430" spans="2:7" x14ac:dyDescent="0.35">
      <c r="B430" s="118" t="s">
        <v>118</v>
      </c>
      <c r="C430" s="106" t="s">
        <v>7</v>
      </c>
      <c r="D430" s="205">
        <v>84612.799999999988</v>
      </c>
      <c r="E430" s="204" t="s">
        <v>122</v>
      </c>
      <c r="F430" s="204" t="s">
        <v>121</v>
      </c>
      <c r="G430" s="204" t="s">
        <v>116</v>
      </c>
    </row>
    <row r="431" spans="2:7" ht="56.5" x14ac:dyDescent="0.35">
      <c r="B431" s="118" t="s">
        <v>119</v>
      </c>
      <c r="C431" s="106" t="s">
        <v>30</v>
      </c>
      <c r="D431" s="205">
        <v>57357.82</v>
      </c>
      <c r="E431" s="204" t="s">
        <v>122</v>
      </c>
      <c r="F431" s="204" t="s">
        <v>121</v>
      </c>
      <c r="G431" s="204" t="s">
        <v>116</v>
      </c>
    </row>
    <row r="432" spans="2:7" x14ac:dyDescent="0.35">
      <c r="B432" s="118" t="s">
        <v>120</v>
      </c>
      <c r="C432" s="106" t="s">
        <v>7</v>
      </c>
      <c r="D432" s="205">
        <v>86585.624999999985</v>
      </c>
      <c r="E432" s="204" t="s">
        <v>122</v>
      </c>
      <c r="F432" s="204" t="s">
        <v>121</v>
      </c>
      <c r="G432" s="204" t="s">
        <v>116</v>
      </c>
    </row>
    <row r="433" spans="2:7" ht="28.5" x14ac:dyDescent="0.35">
      <c r="B433" s="226" t="s">
        <v>101</v>
      </c>
      <c r="C433" s="227"/>
      <c r="D433" s="218">
        <v>4970.7175888909569</v>
      </c>
      <c r="E433" s="204" t="s">
        <v>123</v>
      </c>
      <c r="F433" s="204" t="s">
        <v>121</v>
      </c>
      <c r="G433" s="204" t="s">
        <v>116</v>
      </c>
    </row>
    <row r="434" spans="2:7" ht="56.5" x14ac:dyDescent="0.35">
      <c r="B434" s="118" t="s">
        <v>117</v>
      </c>
      <c r="C434" s="106" t="s">
        <v>30</v>
      </c>
      <c r="D434" s="205">
        <v>38461.82</v>
      </c>
      <c r="E434" s="204" t="s">
        <v>123</v>
      </c>
      <c r="F434" s="204" t="s">
        <v>121</v>
      </c>
      <c r="G434" s="204" t="s">
        <v>116</v>
      </c>
    </row>
    <row r="435" spans="2:7" x14ac:dyDescent="0.35">
      <c r="B435" s="118" t="s">
        <v>118</v>
      </c>
      <c r="C435" s="106" t="s">
        <v>7</v>
      </c>
      <c r="D435" s="205">
        <v>55825.820000000007</v>
      </c>
      <c r="E435" s="204" t="s">
        <v>123</v>
      </c>
      <c r="F435" s="204" t="s">
        <v>121</v>
      </c>
      <c r="G435" s="204" t="s">
        <v>116</v>
      </c>
    </row>
    <row r="436" spans="2:7" ht="56.5" x14ac:dyDescent="0.35">
      <c r="B436" s="118" t="s">
        <v>119</v>
      </c>
      <c r="C436" s="106" t="s">
        <v>30</v>
      </c>
      <c r="D436" s="205">
        <v>46667.92</v>
      </c>
      <c r="E436" s="204" t="s">
        <v>123</v>
      </c>
      <c r="F436" s="204" t="s">
        <v>121</v>
      </c>
      <c r="G436" s="204" t="s">
        <v>116</v>
      </c>
    </row>
    <row r="437" spans="2:7" x14ac:dyDescent="0.35">
      <c r="B437" s="118" t="s">
        <v>120</v>
      </c>
      <c r="C437" s="106" t="s">
        <v>7</v>
      </c>
      <c r="D437" s="205">
        <v>59984.404465484637</v>
      </c>
      <c r="E437" s="204" t="s">
        <v>123</v>
      </c>
      <c r="F437" s="204" t="s">
        <v>121</v>
      </c>
      <c r="G437" s="204" t="s">
        <v>116</v>
      </c>
    </row>
    <row r="438" spans="2:7" ht="42" x14ac:dyDescent="0.35">
      <c r="B438" s="107" t="s">
        <v>98</v>
      </c>
      <c r="C438" s="108"/>
      <c r="D438" s="439">
        <v>0</v>
      </c>
      <c r="E438" s="440" t="s">
        <v>99</v>
      </c>
      <c r="F438" s="440" t="s">
        <v>121</v>
      </c>
      <c r="G438" s="440" t="s">
        <v>163</v>
      </c>
    </row>
    <row r="439" spans="2:7" x14ac:dyDescent="0.35">
      <c r="B439" s="109" t="s">
        <v>11</v>
      </c>
      <c r="C439" s="104" t="s">
        <v>5</v>
      </c>
      <c r="D439" s="439">
        <v>43</v>
      </c>
      <c r="E439" s="440" t="s">
        <v>99</v>
      </c>
      <c r="F439" s="440" t="s">
        <v>121</v>
      </c>
      <c r="G439" s="440" t="s">
        <v>163</v>
      </c>
    </row>
    <row r="440" spans="2:7" x14ac:dyDescent="0.35">
      <c r="B440" s="110" t="s">
        <v>48</v>
      </c>
      <c r="C440" s="104" t="s">
        <v>5</v>
      </c>
      <c r="D440" s="439">
        <v>13439</v>
      </c>
      <c r="E440" s="440" t="s">
        <v>99</v>
      </c>
      <c r="F440" s="440" t="s">
        <v>121</v>
      </c>
      <c r="G440" s="440" t="s">
        <v>163</v>
      </c>
    </row>
    <row r="441" spans="2:7" x14ac:dyDescent="0.35">
      <c r="B441" s="110" t="s">
        <v>49</v>
      </c>
      <c r="C441" s="104" t="s">
        <v>5</v>
      </c>
      <c r="D441" s="439">
        <v>13439</v>
      </c>
      <c r="E441" s="440" t="s">
        <v>99</v>
      </c>
      <c r="F441" s="440" t="s">
        <v>121</v>
      </c>
      <c r="G441" s="440" t="s">
        <v>163</v>
      </c>
    </row>
    <row r="442" spans="2:7" x14ac:dyDescent="0.35">
      <c r="B442" s="111" t="s">
        <v>44</v>
      </c>
      <c r="C442" s="104" t="s">
        <v>5</v>
      </c>
      <c r="D442" s="439">
        <v>0</v>
      </c>
      <c r="E442" s="440" t="s">
        <v>99</v>
      </c>
      <c r="F442" s="440" t="s">
        <v>121</v>
      </c>
      <c r="G442" s="440" t="s">
        <v>163</v>
      </c>
    </row>
    <row r="443" spans="2:7" x14ac:dyDescent="0.35">
      <c r="B443" s="111" t="s">
        <v>45</v>
      </c>
      <c r="C443" s="104" t="s">
        <v>5</v>
      </c>
      <c r="D443" s="439">
        <v>0</v>
      </c>
      <c r="E443" s="440" t="s">
        <v>99</v>
      </c>
      <c r="F443" s="440" t="s">
        <v>121</v>
      </c>
      <c r="G443" s="440" t="s">
        <v>163</v>
      </c>
    </row>
    <row r="444" spans="2:7" x14ac:dyDescent="0.35">
      <c r="B444" s="110" t="s">
        <v>42</v>
      </c>
      <c r="C444" s="105" t="s">
        <v>7</v>
      </c>
      <c r="D444" s="439">
        <v>194634.06</v>
      </c>
      <c r="E444" s="440" t="s">
        <v>99</v>
      </c>
      <c r="F444" s="440" t="s">
        <v>121</v>
      </c>
      <c r="G444" s="440" t="s">
        <v>163</v>
      </c>
    </row>
    <row r="445" spans="2:7" x14ac:dyDescent="0.35">
      <c r="B445" s="110" t="s">
        <v>50</v>
      </c>
      <c r="C445" s="105" t="s">
        <v>7</v>
      </c>
      <c r="D445" s="439">
        <v>194634.06</v>
      </c>
      <c r="E445" s="440" t="s">
        <v>99</v>
      </c>
      <c r="F445" s="440" t="s">
        <v>121</v>
      </c>
      <c r="G445" s="440" t="s">
        <v>163</v>
      </c>
    </row>
    <row r="446" spans="2:7" x14ac:dyDescent="0.35">
      <c r="B446" s="112" t="s">
        <v>46</v>
      </c>
      <c r="C446" s="105" t="s">
        <v>7</v>
      </c>
      <c r="D446" s="439">
        <v>0</v>
      </c>
      <c r="E446" s="440" t="s">
        <v>99</v>
      </c>
      <c r="F446" s="440" t="s">
        <v>121</v>
      </c>
      <c r="G446" s="440" t="s">
        <v>163</v>
      </c>
    </row>
    <row r="447" spans="2:7" x14ac:dyDescent="0.35">
      <c r="B447" s="112" t="s">
        <v>47</v>
      </c>
      <c r="C447" s="105" t="s">
        <v>7</v>
      </c>
      <c r="D447" s="439">
        <v>0</v>
      </c>
      <c r="E447" s="440" t="s">
        <v>99</v>
      </c>
      <c r="F447" s="440" t="s">
        <v>121</v>
      </c>
      <c r="G447" s="440" t="s">
        <v>163</v>
      </c>
    </row>
    <row r="448" spans="2:7" x14ac:dyDescent="0.35">
      <c r="B448" s="110" t="s">
        <v>43</v>
      </c>
      <c r="C448" s="223" t="s">
        <v>8</v>
      </c>
      <c r="D448" s="439">
        <v>1.6415</v>
      </c>
      <c r="E448" s="440" t="s">
        <v>99</v>
      </c>
      <c r="F448" s="440" t="s">
        <v>121</v>
      </c>
      <c r="G448" s="440" t="s">
        <v>163</v>
      </c>
    </row>
    <row r="449" spans="2:7" ht="42" x14ac:dyDescent="0.35">
      <c r="B449" s="107" t="s">
        <v>98</v>
      </c>
      <c r="C449" s="108"/>
      <c r="D449" s="439">
        <v>0</v>
      </c>
      <c r="E449" s="440" t="s">
        <v>122</v>
      </c>
      <c r="F449" s="440" t="s">
        <v>121</v>
      </c>
      <c r="G449" s="440" t="s">
        <v>163</v>
      </c>
    </row>
    <row r="450" spans="2:7" x14ac:dyDescent="0.35">
      <c r="B450" s="109" t="s">
        <v>11</v>
      </c>
      <c r="C450" s="104" t="s">
        <v>5</v>
      </c>
      <c r="D450" s="439">
        <v>13</v>
      </c>
      <c r="E450" s="440" t="s">
        <v>122</v>
      </c>
      <c r="F450" s="440" t="s">
        <v>121</v>
      </c>
      <c r="G450" s="440" t="s">
        <v>163</v>
      </c>
    </row>
    <row r="451" spans="2:7" x14ac:dyDescent="0.35">
      <c r="B451" s="110" t="s">
        <v>48</v>
      </c>
      <c r="C451" s="104" t="s">
        <v>5</v>
      </c>
      <c r="D451" s="439">
        <v>9002</v>
      </c>
      <c r="E451" s="440" t="s">
        <v>122</v>
      </c>
      <c r="F451" s="440" t="s">
        <v>121</v>
      </c>
      <c r="G451" s="440" t="s">
        <v>163</v>
      </c>
    </row>
    <row r="452" spans="2:7" x14ac:dyDescent="0.35">
      <c r="B452" s="110" t="s">
        <v>49</v>
      </c>
      <c r="C452" s="104" t="s">
        <v>5</v>
      </c>
      <c r="D452" s="439">
        <v>9002</v>
      </c>
      <c r="E452" s="440" t="s">
        <v>122</v>
      </c>
      <c r="F452" s="440" t="s">
        <v>121</v>
      </c>
      <c r="G452" s="440" t="s">
        <v>163</v>
      </c>
    </row>
    <row r="453" spans="2:7" x14ac:dyDescent="0.35">
      <c r="B453" s="111" t="s">
        <v>44</v>
      </c>
      <c r="C453" s="104" t="s">
        <v>5</v>
      </c>
      <c r="D453" s="439">
        <v>0</v>
      </c>
      <c r="E453" s="440" t="s">
        <v>122</v>
      </c>
      <c r="F453" s="440" t="s">
        <v>121</v>
      </c>
      <c r="G453" s="440" t="s">
        <v>163</v>
      </c>
    </row>
    <row r="454" spans="2:7" x14ac:dyDescent="0.35">
      <c r="B454" s="111" t="s">
        <v>45</v>
      </c>
      <c r="C454" s="104" t="s">
        <v>5</v>
      </c>
      <c r="D454" s="439">
        <v>0</v>
      </c>
      <c r="E454" s="440" t="s">
        <v>122</v>
      </c>
      <c r="F454" s="440" t="s">
        <v>121</v>
      </c>
      <c r="G454" s="440" t="s">
        <v>163</v>
      </c>
    </row>
    <row r="455" spans="2:7" x14ac:dyDescent="0.35">
      <c r="B455" s="110" t="s">
        <v>42</v>
      </c>
      <c r="C455" s="105" t="s">
        <v>7</v>
      </c>
      <c r="D455" s="439">
        <v>87238.84</v>
      </c>
      <c r="E455" s="440" t="s">
        <v>122</v>
      </c>
      <c r="F455" s="440" t="s">
        <v>121</v>
      </c>
      <c r="G455" s="440" t="s">
        <v>163</v>
      </c>
    </row>
    <row r="456" spans="2:7" x14ac:dyDescent="0.35">
      <c r="B456" s="110" t="s">
        <v>50</v>
      </c>
      <c r="C456" s="105" t="s">
        <v>7</v>
      </c>
      <c r="D456" s="439">
        <v>87238.84</v>
      </c>
      <c r="E456" s="440" t="s">
        <v>122</v>
      </c>
      <c r="F456" s="440" t="s">
        <v>121</v>
      </c>
      <c r="G456" s="440" t="s">
        <v>163</v>
      </c>
    </row>
    <row r="457" spans="2:7" x14ac:dyDescent="0.35">
      <c r="B457" s="112" t="s">
        <v>46</v>
      </c>
      <c r="C457" s="105" t="s">
        <v>7</v>
      </c>
      <c r="D457" s="439">
        <v>0</v>
      </c>
      <c r="E457" s="440" t="s">
        <v>122</v>
      </c>
      <c r="F457" s="440" t="s">
        <v>121</v>
      </c>
      <c r="G457" s="440" t="s">
        <v>163</v>
      </c>
    </row>
    <row r="458" spans="2:7" x14ac:dyDescent="0.35">
      <c r="B458" s="112" t="s">
        <v>47</v>
      </c>
      <c r="C458" s="105" t="s">
        <v>7</v>
      </c>
      <c r="D458" s="439">
        <v>0</v>
      </c>
      <c r="E458" s="440" t="s">
        <v>122</v>
      </c>
      <c r="F458" s="440" t="s">
        <v>121</v>
      </c>
      <c r="G458" s="440" t="s">
        <v>163</v>
      </c>
    </row>
    <row r="459" spans="2:7" x14ac:dyDescent="0.35">
      <c r="B459" s="110" t="s">
        <v>43</v>
      </c>
      <c r="C459" s="223" t="s">
        <v>8</v>
      </c>
      <c r="D459" s="439">
        <v>0.84609999999999996</v>
      </c>
      <c r="E459" s="440" t="s">
        <v>122</v>
      </c>
      <c r="F459" s="440" t="s">
        <v>121</v>
      </c>
      <c r="G459" s="440" t="s">
        <v>163</v>
      </c>
    </row>
    <row r="460" spans="2:7" ht="42" x14ac:dyDescent="0.35">
      <c r="B460" s="107" t="s">
        <v>98</v>
      </c>
      <c r="C460" s="108"/>
      <c r="D460" s="439">
        <v>0</v>
      </c>
      <c r="E460" s="440" t="s">
        <v>123</v>
      </c>
      <c r="F460" s="440" t="s">
        <v>121</v>
      </c>
      <c r="G460" s="440" t="s">
        <v>163</v>
      </c>
    </row>
    <row r="461" spans="2:7" x14ac:dyDescent="0.35">
      <c r="B461" s="109" t="s">
        <v>11</v>
      </c>
      <c r="C461" s="104" t="s">
        <v>5</v>
      </c>
      <c r="D461" s="439">
        <v>20</v>
      </c>
      <c r="E461" s="440" t="s">
        <v>123</v>
      </c>
      <c r="F461" s="440" t="s">
        <v>121</v>
      </c>
      <c r="G461" s="440" t="s">
        <v>163</v>
      </c>
    </row>
    <row r="462" spans="2:7" x14ac:dyDescent="0.35">
      <c r="B462" s="110" t="s">
        <v>48</v>
      </c>
      <c r="C462" s="104" t="s">
        <v>5</v>
      </c>
      <c r="D462" s="439">
        <v>8160</v>
      </c>
      <c r="E462" s="440" t="s">
        <v>123</v>
      </c>
      <c r="F462" s="440" t="s">
        <v>121</v>
      </c>
      <c r="G462" s="440" t="s">
        <v>163</v>
      </c>
    </row>
    <row r="463" spans="2:7" x14ac:dyDescent="0.35">
      <c r="B463" s="110" t="s">
        <v>49</v>
      </c>
      <c r="C463" s="104" t="s">
        <v>5</v>
      </c>
      <c r="D463" s="439">
        <v>8160</v>
      </c>
      <c r="E463" s="440" t="s">
        <v>123</v>
      </c>
      <c r="F463" s="440" t="s">
        <v>121</v>
      </c>
      <c r="G463" s="440" t="s">
        <v>163</v>
      </c>
    </row>
    <row r="464" spans="2:7" x14ac:dyDescent="0.35">
      <c r="B464" s="111" t="s">
        <v>44</v>
      </c>
      <c r="C464" s="104" t="s">
        <v>5</v>
      </c>
      <c r="D464" s="439">
        <v>0</v>
      </c>
      <c r="E464" s="440" t="s">
        <v>123</v>
      </c>
      <c r="F464" s="440" t="s">
        <v>121</v>
      </c>
      <c r="G464" s="440" t="s">
        <v>163</v>
      </c>
    </row>
    <row r="465" spans="2:7" x14ac:dyDescent="0.35">
      <c r="B465" s="111" t="s">
        <v>45</v>
      </c>
      <c r="C465" s="104" t="s">
        <v>5</v>
      </c>
      <c r="D465" s="439">
        <v>0</v>
      </c>
      <c r="E465" s="440" t="s">
        <v>123</v>
      </c>
      <c r="F465" s="440" t="s">
        <v>121</v>
      </c>
      <c r="G465" s="440" t="s">
        <v>163</v>
      </c>
    </row>
    <row r="466" spans="2:7" x14ac:dyDescent="0.35">
      <c r="B466" s="110" t="s">
        <v>42</v>
      </c>
      <c r="C466" s="105" t="s">
        <v>7</v>
      </c>
      <c r="D466" s="439">
        <v>58103.55</v>
      </c>
      <c r="E466" s="440" t="s">
        <v>123</v>
      </c>
      <c r="F466" s="440" t="s">
        <v>121</v>
      </c>
      <c r="G466" s="440" t="s">
        <v>163</v>
      </c>
    </row>
    <row r="467" spans="2:7" x14ac:dyDescent="0.35">
      <c r="B467" s="110" t="s">
        <v>50</v>
      </c>
      <c r="C467" s="105" t="s">
        <v>7</v>
      </c>
      <c r="D467" s="439">
        <v>58103.55</v>
      </c>
      <c r="E467" s="440" t="s">
        <v>123</v>
      </c>
      <c r="F467" s="440" t="s">
        <v>121</v>
      </c>
      <c r="G467" s="440" t="s">
        <v>163</v>
      </c>
    </row>
    <row r="468" spans="2:7" x14ac:dyDescent="0.35">
      <c r="B468" s="112" t="s">
        <v>46</v>
      </c>
      <c r="C468" s="105" t="s">
        <v>7</v>
      </c>
      <c r="D468" s="439">
        <v>0</v>
      </c>
      <c r="E468" s="440" t="s">
        <v>123</v>
      </c>
      <c r="F468" s="440" t="s">
        <v>121</v>
      </c>
      <c r="G468" s="440" t="s">
        <v>163</v>
      </c>
    </row>
    <row r="469" spans="2:7" x14ac:dyDescent="0.35">
      <c r="B469" s="112" t="s">
        <v>47</v>
      </c>
      <c r="C469" s="105" t="s">
        <v>7</v>
      </c>
      <c r="D469" s="439">
        <v>0</v>
      </c>
      <c r="E469" s="440" t="s">
        <v>123</v>
      </c>
      <c r="F469" s="440" t="s">
        <v>121</v>
      </c>
      <c r="G469" s="440" t="s">
        <v>163</v>
      </c>
    </row>
    <row r="470" spans="2:7" x14ac:dyDescent="0.35">
      <c r="B470" s="110" t="s">
        <v>43</v>
      </c>
      <c r="C470" s="223" t="s">
        <v>8</v>
      </c>
      <c r="D470" s="439">
        <v>3.0848</v>
      </c>
      <c r="E470" s="440" t="s">
        <v>123</v>
      </c>
      <c r="F470" s="440" t="s">
        <v>121</v>
      </c>
      <c r="G470" s="440" t="s">
        <v>163</v>
      </c>
    </row>
    <row r="471" spans="2:7" ht="56.5" x14ac:dyDescent="0.35">
      <c r="B471" s="113" t="s">
        <v>100</v>
      </c>
      <c r="C471" s="114"/>
      <c r="D471" s="441">
        <v>10.538658</v>
      </c>
      <c r="E471" s="440" t="s">
        <v>99</v>
      </c>
      <c r="F471" s="440" t="s">
        <v>121</v>
      </c>
      <c r="G471" s="440" t="s">
        <v>163</v>
      </c>
    </row>
    <row r="472" spans="2:7" ht="28.5" x14ac:dyDescent="0.35">
      <c r="B472" s="442" t="s">
        <v>39</v>
      </c>
      <c r="C472" s="291"/>
      <c r="D472" s="439"/>
      <c r="E472" s="440" t="s">
        <v>99</v>
      </c>
      <c r="F472" s="440" t="s">
        <v>121</v>
      </c>
      <c r="G472" s="440" t="s">
        <v>163</v>
      </c>
    </row>
    <row r="473" spans="2:7" x14ac:dyDescent="0.35">
      <c r="B473" s="443" t="s">
        <v>61</v>
      </c>
      <c r="C473" s="291" t="s">
        <v>25</v>
      </c>
      <c r="D473" s="439"/>
      <c r="E473" s="440" t="s">
        <v>99</v>
      </c>
      <c r="F473" s="440" t="s">
        <v>121</v>
      </c>
      <c r="G473" s="440" t="s">
        <v>163</v>
      </c>
    </row>
    <row r="474" spans="2:7" x14ac:dyDescent="0.35">
      <c r="B474" s="444" t="s">
        <v>140</v>
      </c>
      <c r="C474" s="296" t="s">
        <v>59</v>
      </c>
      <c r="D474" s="439">
        <v>0.50790000000000002</v>
      </c>
      <c r="E474" s="440" t="s">
        <v>99</v>
      </c>
      <c r="F474" s="440" t="s">
        <v>121</v>
      </c>
      <c r="G474" s="440" t="s">
        <v>163</v>
      </c>
    </row>
    <row r="475" spans="2:7" x14ac:dyDescent="0.35">
      <c r="B475" s="444" t="s">
        <v>141</v>
      </c>
      <c r="C475" s="296" t="s">
        <v>59</v>
      </c>
      <c r="D475" s="439">
        <v>0.76229999999999998</v>
      </c>
      <c r="E475" s="440" t="s">
        <v>99</v>
      </c>
      <c r="F475" s="440" t="s">
        <v>121</v>
      </c>
      <c r="G475" s="440" t="s">
        <v>163</v>
      </c>
    </row>
    <row r="476" spans="2:7" x14ac:dyDescent="0.35">
      <c r="B476" s="445" t="s">
        <v>135</v>
      </c>
      <c r="C476" s="296" t="s">
        <v>59</v>
      </c>
      <c r="D476" s="439"/>
      <c r="E476" s="440" t="s">
        <v>99</v>
      </c>
      <c r="F476" s="440" t="s">
        <v>121</v>
      </c>
      <c r="G476" s="440" t="s">
        <v>163</v>
      </c>
    </row>
    <row r="477" spans="2:7" ht="28.5" x14ac:dyDescent="0.35">
      <c r="B477" s="442" t="s">
        <v>40</v>
      </c>
      <c r="C477" s="291" t="s">
        <v>26</v>
      </c>
      <c r="D477" s="439"/>
      <c r="E477" s="440" t="s">
        <v>99</v>
      </c>
      <c r="F477" s="440" t="s">
        <v>121</v>
      </c>
      <c r="G477" s="440" t="s">
        <v>163</v>
      </c>
    </row>
    <row r="478" spans="2:7" x14ac:dyDescent="0.35">
      <c r="B478" s="443" t="s">
        <v>61</v>
      </c>
      <c r="C478" s="291" t="s">
        <v>26</v>
      </c>
      <c r="D478" s="439"/>
      <c r="E478" s="440" t="s">
        <v>99</v>
      </c>
      <c r="F478" s="440" t="s">
        <v>121</v>
      </c>
      <c r="G478" s="440" t="s">
        <v>163</v>
      </c>
    </row>
    <row r="479" spans="2:7" x14ac:dyDescent="0.35">
      <c r="B479" s="444" t="s">
        <v>140</v>
      </c>
      <c r="C479" s="291" t="s">
        <v>26</v>
      </c>
      <c r="D479" s="439">
        <v>13.17</v>
      </c>
      <c r="E479" s="440" t="s">
        <v>99</v>
      </c>
      <c r="F479" s="440" t="s">
        <v>121</v>
      </c>
      <c r="G479" s="440" t="s">
        <v>163</v>
      </c>
    </row>
    <row r="480" spans="2:7" x14ac:dyDescent="0.35">
      <c r="B480" s="444" t="s">
        <v>141</v>
      </c>
      <c r="C480" s="291" t="s">
        <v>26</v>
      </c>
      <c r="D480" s="439">
        <v>5.05</v>
      </c>
      <c r="E480" s="440" t="s">
        <v>99</v>
      </c>
      <c r="F480" s="440" t="s">
        <v>121</v>
      </c>
      <c r="G480" s="440" t="s">
        <v>163</v>
      </c>
    </row>
    <row r="481" spans="2:7" x14ac:dyDescent="0.35">
      <c r="B481" s="443" t="s">
        <v>135</v>
      </c>
      <c r="C481" s="291" t="s">
        <v>26</v>
      </c>
      <c r="D481" s="439"/>
      <c r="E481" s="440" t="s">
        <v>99</v>
      </c>
      <c r="F481" s="440" t="s">
        <v>121</v>
      </c>
      <c r="G481" s="440" t="s">
        <v>163</v>
      </c>
    </row>
    <row r="482" spans="2:7" ht="56.5" x14ac:dyDescent="0.35">
      <c r="B482" s="113" t="s">
        <v>100</v>
      </c>
      <c r="C482" s="114"/>
      <c r="D482" s="441">
        <v>4.7065900000000003</v>
      </c>
      <c r="E482" s="440" t="s">
        <v>122</v>
      </c>
      <c r="F482" s="440" t="s">
        <v>121</v>
      </c>
      <c r="G482" s="440" t="s">
        <v>163</v>
      </c>
    </row>
    <row r="483" spans="2:7" ht="28.5" x14ac:dyDescent="0.35">
      <c r="B483" s="442" t="s">
        <v>39</v>
      </c>
      <c r="C483" s="291"/>
      <c r="D483" s="439"/>
      <c r="E483" s="440" t="s">
        <v>122</v>
      </c>
      <c r="F483" s="440" t="s">
        <v>121</v>
      </c>
      <c r="G483" s="440" t="s">
        <v>163</v>
      </c>
    </row>
    <row r="484" spans="2:7" x14ac:dyDescent="0.35">
      <c r="B484" s="443" t="s">
        <v>61</v>
      </c>
      <c r="C484" s="291" t="s">
        <v>25</v>
      </c>
      <c r="D484" s="439"/>
      <c r="E484" s="440" t="s">
        <v>122</v>
      </c>
      <c r="F484" s="440" t="s">
        <v>121</v>
      </c>
      <c r="G484" s="440" t="s">
        <v>163</v>
      </c>
    </row>
    <row r="485" spans="2:7" x14ac:dyDescent="0.35">
      <c r="B485" s="444" t="s">
        <v>140</v>
      </c>
      <c r="C485" s="296" t="s">
        <v>59</v>
      </c>
      <c r="D485" s="439">
        <v>0.22700000000000001</v>
      </c>
      <c r="E485" s="440" t="s">
        <v>122</v>
      </c>
      <c r="F485" s="440" t="s">
        <v>121</v>
      </c>
      <c r="G485" s="440" t="s">
        <v>163</v>
      </c>
    </row>
    <row r="486" spans="2:7" x14ac:dyDescent="0.35">
      <c r="B486" s="444" t="s">
        <v>141</v>
      </c>
      <c r="C486" s="296" t="s">
        <v>59</v>
      </c>
      <c r="D486" s="439">
        <v>0.34</v>
      </c>
      <c r="E486" s="440" t="s">
        <v>122</v>
      </c>
      <c r="F486" s="440" t="s">
        <v>121</v>
      </c>
      <c r="G486" s="440" t="s">
        <v>163</v>
      </c>
    </row>
    <row r="487" spans="2:7" x14ac:dyDescent="0.35">
      <c r="B487" s="445" t="s">
        <v>135</v>
      </c>
      <c r="C487" s="296" t="s">
        <v>59</v>
      </c>
      <c r="D487" s="439"/>
      <c r="E487" s="440" t="s">
        <v>122</v>
      </c>
      <c r="F487" s="440" t="s">
        <v>121</v>
      </c>
      <c r="G487" s="440" t="s">
        <v>163</v>
      </c>
    </row>
    <row r="488" spans="2:7" ht="28.5" x14ac:dyDescent="0.35">
      <c r="B488" s="442" t="s">
        <v>40</v>
      </c>
      <c r="C488" s="291" t="s">
        <v>26</v>
      </c>
      <c r="D488" s="439"/>
      <c r="E488" s="440" t="s">
        <v>122</v>
      </c>
      <c r="F488" s="440" t="s">
        <v>121</v>
      </c>
      <c r="G488" s="440" t="s">
        <v>163</v>
      </c>
    </row>
    <row r="489" spans="2:7" x14ac:dyDescent="0.35">
      <c r="B489" s="443" t="s">
        <v>61</v>
      </c>
      <c r="C489" s="291" t="s">
        <v>26</v>
      </c>
      <c r="D489" s="439"/>
      <c r="E489" s="440" t="s">
        <v>122</v>
      </c>
      <c r="F489" s="440" t="s">
        <v>121</v>
      </c>
      <c r="G489" s="440" t="s">
        <v>163</v>
      </c>
    </row>
    <row r="490" spans="2:7" x14ac:dyDescent="0.35">
      <c r="B490" s="444" t="s">
        <v>140</v>
      </c>
      <c r="C490" s="291" t="s">
        <v>26</v>
      </c>
      <c r="D490" s="439">
        <v>13.17</v>
      </c>
      <c r="E490" s="440" t="s">
        <v>122</v>
      </c>
      <c r="F490" s="440" t="s">
        <v>121</v>
      </c>
      <c r="G490" s="440" t="s">
        <v>163</v>
      </c>
    </row>
    <row r="491" spans="2:7" x14ac:dyDescent="0.35">
      <c r="B491" s="444" t="s">
        <v>141</v>
      </c>
      <c r="C491" s="291" t="s">
        <v>26</v>
      </c>
      <c r="D491" s="439">
        <v>5.05</v>
      </c>
      <c r="E491" s="440" t="s">
        <v>122</v>
      </c>
      <c r="F491" s="440" t="s">
        <v>121</v>
      </c>
      <c r="G491" s="440" t="s">
        <v>163</v>
      </c>
    </row>
    <row r="492" spans="2:7" x14ac:dyDescent="0.35">
      <c r="B492" s="443" t="s">
        <v>135</v>
      </c>
      <c r="C492" s="291" t="s">
        <v>26</v>
      </c>
      <c r="D492" s="439"/>
      <c r="E492" s="440" t="s">
        <v>122</v>
      </c>
      <c r="F492" s="440" t="s">
        <v>121</v>
      </c>
      <c r="G492" s="440" t="s">
        <v>163</v>
      </c>
    </row>
    <row r="493" spans="2:7" ht="56.5" x14ac:dyDescent="0.35">
      <c r="B493" s="113" t="s">
        <v>100</v>
      </c>
      <c r="C493" s="114"/>
      <c r="D493" s="441">
        <v>30.2</v>
      </c>
      <c r="E493" s="440" t="s">
        <v>123</v>
      </c>
      <c r="F493" s="440" t="s">
        <v>121</v>
      </c>
      <c r="G493" s="440" t="s">
        <v>163</v>
      </c>
    </row>
    <row r="494" spans="2:7" ht="28.5" x14ac:dyDescent="0.35">
      <c r="B494" s="442" t="s">
        <v>39</v>
      </c>
      <c r="C494" s="291"/>
      <c r="D494" s="439"/>
      <c r="E494" s="440" t="s">
        <v>123</v>
      </c>
      <c r="F494" s="440" t="s">
        <v>121</v>
      </c>
      <c r="G494" s="440" t="s">
        <v>163</v>
      </c>
    </row>
    <row r="495" spans="2:7" x14ac:dyDescent="0.35">
      <c r="B495" s="443" t="s">
        <v>61</v>
      </c>
      <c r="C495" s="291" t="s">
        <v>25</v>
      </c>
      <c r="D495" s="439">
        <v>5</v>
      </c>
      <c r="E495" s="440" t="s">
        <v>123</v>
      </c>
      <c r="F495" s="440" t="s">
        <v>121</v>
      </c>
      <c r="G495" s="440" t="s">
        <v>163</v>
      </c>
    </row>
    <row r="496" spans="2:7" x14ac:dyDescent="0.35">
      <c r="B496" s="444" t="s">
        <v>140</v>
      </c>
      <c r="C496" s="296" t="s">
        <v>59</v>
      </c>
      <c r="D496" s="439"/>
      <c r="E496" s="440" t="s">
        <v>123</v>
      </c>
      <c r="F496" s="440" t="s">
        <v>121</v>
      </c>
      <c r="G496" s="440" t="s">
        <v>163</v>
      </c>
    </row>
    <row r="497" spans="2:7" x14ac:dyDescent="0.35">
      <c r="B497" s="444" t="s">
        <v>141</v>
      </c>
      <c r="C497" s="296" t="s">
        <v>59</v>
      </c>
      <c r="D497" s="439"/>
      <c r="E497" s="440" t="s">
        <v>123</v>
      </c>
      <c r="F497" s="440" t="s">
        <v>121</v>
      </c>
      <c r="G497" s="440" t="s">
        <v>163</v>
      </c>
    </row>
    <row r="498" spans="2:7" x14ac:dyDescent="0.35">
      <c r="B498" s="445" t="s">
        <v>135</v>
      </c>
      <c r="C498" s="296" t="s">
        <v>59</v>
      </c>
      <c r="D498" s="439">
        <v>50</v>
      </c>
      <c r="E498" s="440" t="s">
        <v>123</v>
      </c>
      <c r="F498" s="440" t="s">
        <v>121</v>
      </c>
      <c r="G498" s="440" t="s">
        <v>163</v>
      </c>
    </row>
    <row r="499" spans="2:7" ht="28.5" x14ac:dyDescent="0.35">
      <c r="B499" s="442" t="s">
        <v>40</v>
      </c>
      <c r="C499" s="291" t="s">
        <v>26</v>
      </c>
      <c r="D499" s="439"/>
      <c r="E499" s="440" t="s">
        <v>123</v>
      </c>
      <c r="F499" s="440" t="s">
        <v>121</v>
      </c>
      <c r="G499" s="440" t="s">
        <v>163</v>
      </c>
    </row>
    <row r="500" spans="2:7" x14ac:dyDescent="0.35">
      <c r="B500" s="443" t="s">
        <v>61</v>
      </c>
      <c r="C500" s="291" t="s">
        <v>26</v>
      </c>
      <c r="D500" s="439">
        <v>2.472</v>
      </c>
      <c r="E500" s="440" t="s">
        <v>123</v>
      </c>
      <c r="F500" s="440" t="s">
        <v>121</v>
      </c>
      <c r="G500" s="440" t="s">
        <v>163</v>
      </c>
    </row>
    <row r="501" spans="2:7" x14ac:dyDescent="0.35">
      <c r="B501" s="444" t="s">
        <v>140</v>
      </c>
      <c r="C501" s="291" t="s">
        <v>26</v>
      </c>
      <c r="D501" s="439"/>
      <c r="E501" s="440" t="s">
        <v>123</v>
      </c>
      <c r="F501" s="440" t="s">
        <v>121</v>
      </c>
      <c r="G501" s="440" t="s">
        <v>163</v>
      </c>
    </row>
    <row r="502" spans="2:7" x14ac:dyDescent="0.35">
      <c r="B502" s="444" t="s">
        <v>141</v>
      </c>
      <c r="C502" s="291" t="s">
        <v>26</v>
      </c>
      <c r="D502" s="439"/>
      <c r="E502" s="440" t="s">
        <v>123</v>
      </c>
      <c r="F502" s="440" t="s">
        <v>121</v>
      </c>
      <c r="G502" s="440" t="s">
        <v>163</v>
      </c>
    </row>
    <row r="503" spans="2:7" x14ac:dyDescent="0.35">
      <c r="B503" s="443" t="s">
        <v>135</v>
      </c>
      <c r="C503" s="291" t="s">
        <v>26</v>
      </c>
      <c r="D503" s="439">
        <v>0.35680000000000001</v>
      </c>
      <c r="E503" s="440" t="s">
        <v>123</v>
      </c>
      <c r="F503" s="440" t="s">
        <v>121</v>
      </c>
      <c r="G503" s="440" t="s">
        <v>163</v>
      </c>
    </row>
    <row r="504" spans="2:7" ht="28.5" x14ac:dyDescent="0.35">
      <c r="B504" s="226" t="s">
        <v>101</v>
      </c>
      <c r="C504" s="227"/>
      <c r="D504" s="441">
        <v>28372.29415577395</v>
      </c>
      <c r="E504" s="440" t="s">
        <v>99</v>
      </c>
      <c r="F504" s="440" t="s">
        <v>121</v>
      </c>
      <c r="G504" s="440" t="s">
        <v>163</v>
      </c>
    </row>
    <row r="505" spans="2:7" ht="56.5" x14ac:dyDescent="0.35">
      <c r="B505" s="118" t="s">
        <v>164</v>
      </c>
      <c r="C505" s="106" t="s">
        <v>30</v>
      </c>
      <c r="D505" s="439">
        <v>121651.68</v>
      </c>
      <c r="E505" s="440" t="s">
        <v>99</v>
      </c>
      <c r="F505" s="440" t="s">
        <v>121</v>
      </c>
      <c r="G505" s="440" t="s">
        <v>163</v>
      </c>
    </row>
    <row r="506" spans="2:7" x14ac:dyDescent="0.35">
      <c r="B506" s="118" t="s">
        <v>165</v>
      </c>
      <c r="C506" s="106" t="s">
        <v>7</v>
      </c>
      <c r="D506" s="439">
        <v>194634.06</v>
      </c>
      <c r="E506" s="440" t="s">
        <v>99</v>
      </c>
      <c r="F506" s="440" t="s">
        <v>121</v>
      </c>
      <c r="G506" s="440" t="s">
        <v>163</v>
      </c>
    </row>
    <row r="507" spans="2:7" ht="56.5" x14ac:dyDescent="0.35">
      <c r="B507" s="118" t="s">
        <v>166</v>
      </c>
      <c r="C507" s="106" t="s">
        <v>30</v>
      </c>
      <c r="D507" s="439">
        <v>179643.54</v>
      </c>
      <c r="E507" s="440" t="s">
        <v>99</v>
      </c>
      <c r="F507" s="440" t="s">
        <v>121</v>
      </c>
      <c r="G507" s="440" t="s">
        <v>163</v>
      </c>
    </row>
    <row r="508" spans="2:7" x14ac:dyDescent="0.35">
      <c r="B508" s="118" t="s">
        <v>167</v>
      </c>
      <c r="C508" s="106" t="s">
        <v>7</v>
      </c>
      <c r="D508" s="439">
        <v>233061.09400000001</v>
      </c>
      <c r="E508" s="440" t="s">
        <v>99</v>
      </c>
      <c r="F508" s="440" t="s">
        <v>121</v>
      </c>
      <c r="G508" s="440" t="s">
        <v>163</v>
      </c>
    </row>
    <row r="509" spans="2:7" ht="28.5" x14ac:dyDescent="0.35">
      <c r="B509" s="226" t="s">
        <v>101</v>
      </c>
      <c r="C509" s="227"/>
      <c r="D509" s="441">
        <v>8945.236256597098</v>
      </c>
      <c r="E509" s="440" t="s">
        <v>122</v>
      </c>
      <c r="F509" s="440" t="s">
        <v>121</v>
      </c>
      <c r="G509" s="440" t="s">
        <v>163</v>
      </c>
    </row>
    <row r="510" spans="2:7" ht="56.5" x14ac:dyDescent="0.35">
      <c r="B510" s="118" t="s">
        <v>164</v>
      </c>
      <c r="C510" s="106" t="s">
        <v>30</v>
      </c>
      <c r="D510" s="439">
        <v>49288.09</v>
      </c>
      <c r="E510" s="440" t="s">
        <v>122</v>
      </c>
      <c r="F510" s="440" t="s">
        <v>121</v>
      </c>
      <c r="G510" s="440" t="s">
        <v>163</v>
      </c>
    </row>
    <row r="511" spans="2:7" x14ac:dyDescent="0.35">
      <c r="B511" s="118" t="s">
        <v>165</v>
      </c>
      <c r="C511" s="106" t="s">
        <v>7</v>
      </c>
      <c r="D511" s="439">
        <v>87238.84</v>
      </c>
      <c r="E511" s="440" t="s">
        <v>122</v>
      </c>
      <c r="F511" s="440" t="s">
        <v>121</v>
      </c>
      <c r="G511" s="440" t="s">
        <v>163</v>
      </c>
    </row>
    <row r="512" spans="2:7" ht="56.5" x14ac:dyDescent="0.35">
      <c r="B512" s="118" t="s">
        <v>166</v>
      </c>
      <c r="C512" s="106" t="s">
        <v>30</v>
      </c>
      <c r="D512" s="439">
        <v>58744.47</v>
      </c>
      <c r="E512" s="440" t="s">
        <v>122</v>
      </c>
      <c r="F512" s="440" t="s">
        <v>121</v>
      </c>
      <c r="G512" s="440" t="s">
        <v>163</v>
      </c>
    </row>
    <row r="513" spans="2:7" x14ac:dyDescent="0.35">
      <c r="B513" s="118" t="s">
        <v>167</v>
      </c>
      <c r="C513" s="106" t="s">
        <v>7</v>
      </c>
      <c r="D513" s="439">
        <v>88004.58</v>
      </c>
      <c r="E513" s="440" t="s">
        <v>122</v>
      </c>
      <c r="F513" s="440" t="s">
        <v>121</v>
      </c>
      <c r="G513" s="440" t="s">
        <v>163</v>
      </c>
    </row>
    <row r="514" spans="2:7" ht="28.5" x14ac:dyDescent="0.35">
      <c r="B514" s="226" t="s">
        <v>101</v>
      </c>
      <c r="C514" s="227"/>
      <c r="D514" s="441">
        <v>5667.664786672126</v>
      </c>
      <c r="E514" s="440" t="s">
        <v>123</v>
      </c>
      <c r="F514" s="440" t="s">
        <v>121</v>
      </c>
      <c r="G514" s="440" t="s">
        <v>163</v>
      </c>
    </row>
    <row r="515" spans="2:7" ht="56.5" x14ac:dyDescent="0.35">
      <c r="B515" s="118" t="s">
        <v>164</v>
      </c>
      <c r="C515" s="106" t="s">
        <v>30</v>
      </c>
      <c r="D515" s="439">
        <v>44436.06</v>
      </c>
      <c r="E515" s="440" t="s">
        <v>123</v>
      </c>
      <c r="F515" s="440" t="s">
        <v>121</v>
      </c>
      <c r="G515" s="440" t="s">
        <v>163</v>
      </c>
    </row>
    <row r="516" spans="2:7" x14ac:dyDescent="0.35">
      <c r="B516" s="118" t="s">
        <v>165</v>
      </c>
      <c r="C516" s="106" t="s">
        <v>7</v>
      </c>
      <c r="D516" s="439">
        <v>58103.55</v>
      </c>
      <c r="E516" s="440" t="s">
        <v>123</v>
      </c>
      <c r="F516" s="440" t="s">
        <v>121</v>
      </c>
      <c r="G516" s="440" t="s">
        <v>163</v>
      </c>
    </row>
    <row r="517" spans="2:7" ht="56.5" x14ac:dyDescent="0.35">
      <c r="B517" s="118" t="s">
        <v>166</v>
      </c>
      <c r="C517" s="106" t="s">
        <v>30</v>
      </c>
      <c r="D517" s="439">
        <v>52306.3</v>
      </c>
      <c r="E517" s="440" t="s">
        <v>123</v>
      </c>
      <c r="F517" s="440" t="s">
        <v>121</v>
      </c>
      <c r="G517" s="440" t="s">
        <v>163</v>
      </c>
    </row>
    <row r="518" spans="2:7" x14ac:dyDescent="0.35">
      <c r="B518" s="118" t="s">
        <v>167</v>
      </c>
      <c r="C518" s="106" t="s">
        <v>7</v>
      </c>
      <c r="D518" s="439">
        <v>60657.8</v>
      </c>
      <c r="E518" s="440" t="s">
        <v>123</v>
      </c>
      <c r="F518" s="440" t="s">
        <v>121</v>
      </c>
      <c r="G518" s="440" t="s">
        <v>163</v>
      </c>
    </row>
    <row r="519" spans="2:7" ht="42" x14ac:dyDescent="0.35">
      <c r="B519" s="107" t="s">
        <v>98</v>
      </c>
      <c r="C519" s="108"/>
      <c r="D519" s="441">
        <v>0</v>
      </c>
      <c r="E519" s="440" t="s">
        <v>99</v>
      </c>
      <c r="F519" s="440" t="s">
        <v>121</v>
      </c>
      <c r="G519" s="440" t="s">
        <v>168</v>
      </c>
    </row>
    <row r="520" spans="2:7" x14ac:dyDescent="0.35">
      <c r="B520" s="109" t="s">
        <v>11</v>
      </c>
      <c r="C520" s="104" t="s">
        <v>5</v>
      </c>
      <c r="D520" s="439">
        <v>43</v>
      </c>
      <c r="E520" s="440" t="s">
        <v>99</v>
      </c>
      <c r="F520" s="440" t="s">
        <v>121</v>
      </c>
      <c r="G520" s="440" t="s">
        <v>168</v>
      </c>
    </row>
    <row r="521" spans="2:7" x14ac:dyDescent="0.35">
      <c r="B521" s="110" t="s">
        <v>48</v>
      </c>
      <c r="C521" s="104" t="s">
        <v>5</v>
      </c>
      <c r="D521" s="439">
        <v>13439</v>
      </c>
      <c r="E521" s="440" t="s">
        <v>99</v>
      </c>
      <c r="F521" s="440" t="s">
        <v>121</v>
      </c>
      <c r="G521" s="440" t="s">
        <v>168</v>
      </c>
    </row>
    <row r="522" spans="2:7" x14ac:dyDescent="0.35">
      <c r="B522" s="110" t="s">
        <v>49</v>
      </c>
      <c r="C522" s="104" t="s">
        <v>5</v>
      </c>
      <c r="D522" s="439">
        <v>13439</v>
      </c>
      <c r="E522" s="440" t="s">
        <v>99</v>
      </c>
      <c r="F522" s="440" t="s">
        <v>121</v>
      </c>
      <c r="G522" s="440" t="s">
        <v>168</v>
      </c>
    </row>
    <row r="523" spans="2:7" x14ac:dyDescent="0.35">
      <c r="B523" s="111" t="s">
        <v>44</v>
      </c>
      <c r="C523" s="104" t="s">
        <v>5</v>
      </c>
      <c r="D523" s="439">
        <v>0</v>
      </c>
      <c r="E523" s="440" t="s">
        <v>99</v>
      </c>
      <c r="F523" s="440" t="s">
        <v>121</v>
      </c>
      <c r="G523" s="440" t="s">
        <v>168</v>
      </c>
    </row>
    <row r="524" spans="2:7" x14ac:dyDescent="0.35">
      <c r="B524" s="111" t="s">
        <v>45</v>
      </c>
      <c r="C524" s="104" t="s">
        <v>5</v>
      </c>
      <c r="D524" s="439">
        <v>0</v>
      </c>
      <c r="E524" s="440" t="s">
        <v>99</v>
      </c>
      <c r="F524" s="440" t="s">
        <v>121</v>
      </c>
      <c r="G524" s="440" t="s">
        <v>168</v>
      </c>
    </row>
    <row r="525" spans="2:7" x14ac:dyDescent="0.35">
      <c r="B525" s="110" t="s">
        <v>42</v>
      </c>
      <c r="C525" s="105" t="s">
        <v>7</v>
      </c>
      <c r="D525" s="439">
        <v>194634.06</v>
      </c>
      <c r="E525" s="440" t="s">
        <v>99</v>
      </c>
      <c r="F525" s="440" t="s">
        <v>121</v>
      </c>
      <c r="G525" s="440" t="s">
        <v>168</v>
      </c>
    </row>
    <row r="526" spans="2:7" x14ac:dyDescent="0.35">
      <c r="B526" s="110" t="s">
        <v>50</v>
      </c>
      <c r="C526" s="105" t="s">
        <v>7</v>
      </c>
      <c r="D526" s="439">
        <v>194634.06</v>
      </c>
      <c r="E526" s="440" t="s">
        <v>99</v>
      </c>
      <c r="F526" s="440" t="s">
        <v>121</v>
      </c>
      <c r="G526" s="440" t="s">
        <v>168</v>
      </c>
    </row>
    <row r="527" spans="2:7" x14ac:dyDescent="0.35">
      <c r="B527" s="112" t="s">
        <v>46</v>
      </c>
      <c r="C527" s="105" t="s">
        <v>7</v>
      </c>
      <c r="D527" s="439">
        <v>0</v>
      </c>
      <c r="E527" s="440" t="s">
        <v>99</v>
      </c>
      <c r="F527" s="440" t="s">
        <v>121</v>
      </c>
      <c r="G527" s="440" t="s">
        <v>168</v>
      </c>
    </row>
    <row r="528" spans="2:7" x14ac:dyDescent="0.35">
      <c r="B528" s="112" t="s">
        <v>47</v>
      </c>
      <c r="C528" s="105" t="s">
        <v>7</v>
      </c>
      <c r="D528" s="439">
        <v>0</v>
      </c>
      <c r="E528" s="440" t="s">
        <v>99</v>
      </c>
      <c r="F528" s="440" t="s">
        <v>121</v>
      </c>
      <c r="G528" s="440" t="s">
        <v>168</v>
      </c>
    </row>
    <row r="529" spans="2:7" x14ac:dyDescent="0.35">
      <c r="B529" s="110" t="s">
        <v>43</v>
      </c>
      <c r="C529" s="223" t="s">
        <v>8</v>
      </c>
      <c r="D529" s="439">
        <v>1.6352</v>
      </c>
      <c r="E529" s="440" t="s">
        <v>99</v>
      </c>
      <c r="F529" s="440" t="s">
        <v>121</v>
      </c>
      <c r="G529" s="440" t="s">
        <v>168</v>
      </c>
    </row>
    <row r="530" spans="2:7" ht="42" x14ac:dyDescent="0.35">
      <c r="B530" s="107" t="s">
        <v>98</v>
      </c>
      <c r="C530" s="108"/>
      <c r="D530" s="441">
        <v>0</v>
      </c>
      <c r="E530" s="440" t="s">
        <v>122</v>
      </c>
      <c r="F530" s="440" t="s">
        <v>121</v>
      </c>
      <c r="G530" s="440" t="s">
        <v>168</v>
      </c>
    </row>
    <row r="531" spans="2:7" x14ac:dyDescent="0.35">
      <c r="B531" s="109" t="s">
        <v>11</v>
      </c>
      <c r="C531" s="104" t="s">
        <v>5</v>
      </c>
      <c r="D531" s="439">
        <v>13</v>
      </c>
      <c r="E531" s="440" t="s">
        <v>122</v>
      </c>
      <c r="F531" s="440" t="s">
        <v>121</v>
      </c>
      <c r="G531" s="440" t="s">
        <v>168</v>
      </c>
    </row>
    <row r="532" spans="2:7" x14ac:dyDescent="0.35">
      <c r="B532" s="110" t="s">
        <v>48</v>
      </c>
      <c r="C532" s="104" t="s">
        <v>5</v>
      </c>
      <c r="D532" s="439">
        <v>9002</v>
      </c>
      <c r="E532" s="440" t="s">
        <v>122</v>
      </c>
      <c r="F532" s="440" t="s">
        <v>121</v>
      </c>
      <c r="G532" s="440" t="s">
        <v>168</v>
      </c>
    </row>
    <row r="533" spans="2:7" x14ac:dyDescent="0.35">
      <c r="B533" s="110" t="s">
        <v>49</v>
      </c>
      <c r="C533" s="104" t="s">
        <v>5</v>
      </c>
      <c r="D533" s="439">
        <v>9002</v>
      </c>
      <c r="E533" s="440" t="s">
        <v>122</v>
      </c>
      <c r="F533" s="440" t="s">
        <v>121</v>
      </c>
      <c r="G533" s="440" t="s">
        <v>168</v>
      </c>
    </row>
    <row r="534" spans="2:7" x14ac:dyDescent="0.35">
      <c r="B534" s="111" t="s">
        <v>44</v>
      </c>
      <c r="C534" s="104" t="s">
        <v>5</v>
      </c>
      <c r="D534" s="439">
        <v>0</v>
      </c>
      <c r="E534" s="440" t="s">
        <v>122</v>
      </c>
      <c r="F534" s="440" t="s">
        <v>121</v>
      </c>
      <c r="G534" s="440" t="s">
        <v>168</v>
      </c>
    </row>
    <row r="535" spans="2:7" x14ac:dyDescent="0.35">
      <c r="B535" s="111" t="s">
        <v>45</v>
      </c>
      <c r="C535" s="104" t="s">
        <v>5</v>
      </c>
      <c r="D535" s="439">
        <v>0</v>
      </c>
      <c r="E535" s="440" t="s">
        <v>122</v>
      </c>
      <c r="F535" s="440" t="s">
        <v>121</v>
      </c>
      <c r="G535" s="440" t="s">
        <v>168</v>
      </c>
    </row>
    <row r="536" spans="2:7" x14ac:dyDescent="0.35">
      <c r="B536" s="110" t="s">
        <v>42</v>
      </c>
      <c r="C536" s="105" t="s">
        <v>7</v>
      </c>
      <c r="D536" s="439">
        <v>86968.74</v>
      </c>
      <c r="E536" s="440" t="s">
        <v>122</v>
      </c>
      <c r="F536" s="440" t="s">
        <v>121</v>
      </c>
      <c r="G536" s="440" t="s">
        <v>168</v>
      </c>
    </row>
    <row r="537" spans="2:7" x14ac:dyDescent="0.35">
      <c r="B537" s="110" t="s">
        <v>50</v>
      </c>
      <c r="C537" s="105" t="s">
        <v>7</v>
      </c>
      <c r="D537" s="439">
        <v>86968.74</v>
      </c>
      <c r="E537" s="440" t="s">
        <v>122</v>
      </c>
      <c r="F537" s="440" t="s">
        <v>121</v>
      </c>
      <c r="G537" s="440" t="s">
        <v>168</v>
      </c>
    </row>
    <row r="538" spans="2:7" x14ac:dyDescent="0.35">
      <c r="B538" s="112" t="s">
        <v>46</v>
      </c>
      <c r="C538" s="105" t="s">
        <v>7</v>
      </c>
      <c r="D538" s="439">
        <v>0</v>
      </c>
      <c r="E538" s="440" t="s">
        <v>122</v>
      </c>
      <c r="F538" s="440" t="s">
        <v>121</v>
      </c>
      <c r="G538" s="440" t="s">
        <v>168</v>
      </c>
    </row>
    <row r="539" spans="2:7" x14ac:dyDescent="0.35">
      <c r="B539" s="112" t="s">
        <v>47</v>
      </c>
      <c r="C539" s="105" t="s">
        <v>7</v>
      </c>
      <c r="D539" s="439">
        <v>0</v>
      </c>
      <c r="E539" s="440" t="s">
        <v>122</v>
      </c>
      <c r="F539" s="440" t="s">
        <v>121</v>
      </c>
      <c r="G539" s="440" t="s">
        <v>168</v>
      </c>
    </row>
    <row r="540" spans="2:7" x14ac:dyDescent="0.35">
      <c r="B540" s="110" t="s">
        <v>43</v>
      </c>
      <c r="C540" s="223" t="s">
        <v>8</v>
      </c>
      <c r="D540" s="439">
        <v>0.83960000000000001</v>
      </c>
      <c r="E540" s="440" t="s">
        <v>122</v>
      </c>
      <c r="F540" s="440" t="s">
        <v>121</v>
      </c>
      <c r="G540" s="440" t="s">
        <v>168</v>
      </c>
    </row>
    <row r="541" spans="2:7" ht="42" x14ac:dyDescent="0.35">
      <c r="B541" s="107" t="s">
        <v>98</v>
      </c>
      <c r="C541" s="108"/>
      <c r="D541" s="441">
        <v>0</v>
      </c>
      <c r="E541" s="440" t="s">
        <v>123</v>
      </c>
      <c r="F541" s="440" t="s">
        <v>121</v>
      </c>
      <c r="G541" s="440" t="s">
        <v>168</v>
      </c>
    </row>
    <row r="542" spans="2:7" x14ac:dyDescent="0.35">
      <c r="B542" s="109" t="s">
        <v>11</v>
      </c>
      <c r="C542" s="104" t="s">
        <v>5</v>
      </c>
      <c r="D542" s="439">
        <v>20</v>
      </c>
      <c r="E542" s="440" t="s">
        <v>123</v>
      </c>
      <c r="F542" s="440" t="s">
        <v>121</v>
      </c>
      <c r="G542" s="440" t="s">
        <v>168</v>
      </c>
    </row>
    <row r="543" spans="2:7" x14ac:dyDescent="0.35">
      <c r="B543" s="110" t="s">
        <v>48</v>
      </c>
      <c r="C543" s="104" t="s">
        <v>5</v>
      </c>
      <c r="D543" s="439">
        <v>8160</v>
      </c>
      <c r="E543" s="440" t="s">
        <v>123</v>
      </c>
      <c r="F543" s="440" t="s">
        <v>121</v>
      </c>
      <c r="G543" s="440" t="s">
        <v>168</v>
      </c>
    </row>
    <row r="544" spans="2:7" x14ac:dyDescent="0.35">
      <c r="B544" s="110" t="s">
        <v>49</v>
      </c>
      <c r="C544" s="104" t="s">
        <v>5</v>
      </c>
      <c r="D544" s="439">
        <v>8160</v>
      </c>
      <c r="E544" s="440" t="s">
        <v>123</v>
      </c>
      <c r="F544" s="440" t="s">
        <v>121</v>
      </c>
      <c r="G544" s="440" t="s">
        <v>168</v>
      </c>
    </row>
    <row r="545" spans="2:7" x14ac:dyDescent="0.35">
      <c r="B545" s="111" t="s">
        <v>44</v>
      </c>
      <c r="C545" s="104" t="s">
        <v>5</v>
      </c>
      <c r="D545" s="439">
        <v>0</v>
      </c>
      <c r="E545" s="440" t="s">
        <v>123</v>
      </c>
      <c r="F545" s="440" t="s">
        <v>121</v>
      </c>
      <c r="G545" s="440" t="s">
        <v>168</v>
      </c>
    </row>
    <row r="546" spans="2:7" x14ac:dyDescent="0.35">
      <c r="B546" s="111" t="s">
        <v>45</v>
      </c>
      <c r="C546" s="104" t="s">
        <v>5</v>
      </c>
      <c r="D546" s="439">
        <v>0</v>
      </c>
      <c r="E546" s="440" t="s">
        <v>123</v>
      </c>
      <c r="F546" s="440" t="s">
        <v>121</v>
      </c>
      <c r="G546" s="440" t="s">
        <v>168</v>
      </c>
    </row>
    <row r="547" spans="2:7" x14ac:dyDescent="0.35">
      <c r="B547" s="110" t="s">
        <v>42</v>
      </c>
      <c r="C547" s="105" t="s">
        <v>7</v>
      </c>
      <c r="D547" s="439">
        <v>58103.56</v>
      </c>
      <c r="E547" s="440" t="s">
        <v>123</v>
      </c>
      <c r="F547" s="440" t="s">
        <v>121</v>
      </c>
      <c r="G547" s="440" t="s">
        <v>168</v>
      </c>
    </row>
    <row r="548" spans="2:7" x14ac:dyDescent="0.35">
      <c r="B548" s="110" t="s">
        <v>50</v>
      </c>
      <c r="C548" s="105" t="s">
        <v>7</v>
      </c>
      <c r="D548" s="439">
        <v>58103.56</v>
      </c>
      <c r="E548" s="440" t="s">
        <v>123</v>
      </c>
      <c r="F548" s="440" t="s">
        <v>121</v>
      </c>
      <c r="G548" s="440" t="s">
        <v>168</v>
      </c>
    </row>
    <row r="549" spans="2:7" x14ac:dyDescent="0.35">
      <c r="B549" s="112" t="s">
        <v>46</v>
      </c>
      <c r="C549" s="105" t="s">
        <v>7</v>
      </c>
      <c r="D549" s="439">
        <v>0</v>
      </c>
      <c r="E549" s="440" t="s">
        <v>123</v>
      </c>
      <c r="F549" s="440" t="s">
        <v>121</v>
      </c>
      <c r="G549" s="440" t="s">
        <v>168</v>
      </c>
    </row>
    <row r="550" spans="2:7" x14ac:dyDescent="0.35">
      <c r="B550" s="112" t="s">
        <v>47</v>
      </c>
      <c r="C550" s="105" t="s">
        <v>7</v>
      </c>
      <c r="D550" s="439">
        <v>0</v>
      </c>
      <c r="E550" s="440" t="s">
        <v>123</v>
      </c>
      <c r="F550" s="440" t="s">
        <v>121</v>
      </c>
      <c r="G550" s="440" t="s">
        <v>168</v>
      </c>
    </row>
    <row r="551" spans="2:7" x14ac:dyDescent="0.35">
      <c r="B551" s="110" t="s">
        <v>43</v>
      </c>
      <c r="C551" s="223" t="s">
        <v>8</v>
      </c>
      <c r="D551" s="439">
        <v>3.0952999999999999</v>
      </c>
      <c r="E551" s="440" t="s">
        <v>123</v>
      </c>
      <c r="F551" s="440" t="s">
        <v>121</v>
      </c>
      <c r="G551" s="440" t="s">
        <v>168</v>
      </c>
    </row>
    <row r="552" spans="2:7" ht="56.5" x14ac:dyDescent="0.35">
      <c r="B552" s="113" t="s">
        <v>100</v>
      </c>
      <c r="C552" s="114"/>
      <c r="D552" s="441">
        <v>12.124512000000001</v>
      </c>
      <c r="E552" s="440" t="s">
        <v>99</v>
      </c>
      <c r="F552" s="440" t="s">
        <v>121</v>
      </c>
      <c r="G552" s="440" t="s">
        <v>168</v>
      </c>
    </row>
    <row r="553" spans="2:7" ht="28.5" x14ac:dyDescent="0.35">
      <c r="B553" s="442" t="s">
        <v>39</v>
      </c>
      <c r="C553" s="291"/>
      <c r="D553" s="439"/>
      <c r="E553" s="440" t="s">
        <v>99</v>
      </c>
      <c r="F553" s="440" t="s">
        <v>121</v>
      </c>
      <c r="G553" s="440" t="s">
        <v>168</v>
      </c>
    </row>
    <row r="554" spans="2:7" x14ac:dyDescent="0.35">
      <c r="B554" s="443" t="s">
        <v>71</v>
      </c>
      <c r="C554" s="291" t="s">
        <v>25</v>
      </c>
      <c r="D554" s="439"/>
      <c r="E554" s="440" t="s">
        <v>99</v>
      </c>
      <c r="F554" s="440" t="s">
        <v>121</v>
      </c>
      <c r="G554" s="440" t="s">
        <v>168</v>
      </c>
    </row>
    <row r="555" spans="2:7" x14ac:dyDescent="0.35">
      <c r="B555" s="444" t="s">
        <v>141</v>
      </c>
      <c r="C555" s="296" t="s">
        <v>59</v>
      </c>
      <c r="D555" s="439">
        <v>0.79200000000000004</v>
      </c>
      <c r="E555" s="440" t="s">
        <v>99</v>
      </c>
      <c r="F555" s="440" t="s">
        <v>121</v>
      </c>
      <c r="G555" s="440" t="s">
        <v>168</v>
      </c>
    </row>
    <row r="556" spans="2:7" x14ac:dyDescent="0.35">
      <c r="B556" s="444" t="s">
        <v>143</v>
      </c>
      <c r="C556" s="296" t="s">
        <v>59</v>
      </c>
      <c r="D556" s="439">
        <v>60</v>
      </c>
      <c r="E556" s="440" t="s">
        <v>99</v>
      </c>
      <c r="F556" s="440" t="s">
        <v>121</v>
      </c>
      <c r="G556" s="440" t="s">
        <v>168</v>
      </c>
    </row>
    <row r="557" spans="2:7" x14ac:dyDescent="0.35">
      <c r="B557" s="445" t="s">
        <v>144</v>
      </c>
      <c r="C557" s="296" t="s">
        <v>59</v>
      </c>
      <c r="D557" s="439">
        <v>56</v>
      </c>
      <c r="E557" s="440" t="s">
        <v>99</v>
      </c>
      <c r="F557" s="440" t="s">
        <v>121</v>
      </c>
      <c r="G557" s="440" t="s">
        <v>168</v>
      </c>
    </row>
    <row r="558" spans="2:7" ht="28.5" x14ac:dyDescent="0.35">
      <c r="B558" s="442" t="s">
        <v>40</v>
      </c>
      <c r="C558" s="291" t="s">
        <v>26</v>
      </c>
      <c r="D558" s="439"/>
      <c r="E558" s="440" t="s">
        <v>99</v>
      </c>
      <c r="F558" s="440" t="s">
        <v>121</v>
      </c>
      <c r="G558" s="440" t="s">
        <v>168</v>
      </c>
    </row>
    <row r="559" spans="2:7" x14ac:dyDescent="0.35">
      <c r="B559" s="443" t="s">
        <v>71</v>
      </c>
      <c r="C559" s="291" t="s">
        <v>26</v>
      </c>
      <c r="D559" s="439"/>
      <c r="E559" s="440" t="s">
        <v>99</v>
      </c>
      <c r="F559" s="440" t="s">
        <v>121</v>
      </c>
      <c r="G559" s="440" t="s">
        <v>168</v>
      </c>
    </row>
    <row r="560" spans="2:7" x14ac:dyDescent="0.35">
      <c r="B560" s="444" t="s">
        <v>141</v>
      </c>
      <c r="C560" s="291" t="s">
        <v>26</v>
      </c>
      <c r="D560" s="439">
        <v>5.3559999999999999</v>
      </c>
      <c r="E560" s="440" t="s">
        <v>99</v>
      </c>
      <c r="F560" s="440" t="s">
        <v>121</v>
      </c>
      <c r="G560" s="440" t="s">
        <v>168</v>
      </c>
    </row>
    <row r="561" spans="2:7" x14ac:dyDescent="0.35">
      <c r="B561" s="444" t="s">
        <v>143</v>
      </c>
      <c r="C561" s="291" t="s">
        <v>26</v>
      </c>
      <c r="D561" s="439">
        <v>9.7439999999999999E-2</v>
      </c>
      <c r="E561" s="440" t="s">
        <v>99</v>
      </c>
      <c r="F561" s="440" t="s">
        <v>121</v>
      </c>
      <c r="G561" s="440" t="s">
        <v>168</v>
      </c>
    </row>
    <row r="562" spans="2:7" x14ac:dyDescent="0.35">
      <c r="B562" s="443" t="s">
        <v>144</v>
      </c>
      <c r="C562" s="291" t="s">
        <v>26</v>
      </c>
      <c r="D562" s="439">
        <v>3.6360000000000003E-2</v>
      </c>
      <c r="E562" s="440" t="s">
        <v>99</v>
      </c>
      <c r="F562" s="440" t="s">
        <v>121</v>
      </c>
      <c r="G562" s="440" t="s">
        <v>168</v>
      </c>
    </row>
    <row r="563" spans="2:7" ht="56.5" x14ac:dyDescent="0.35">
      <c r="B563" s="113" t="s">
        <v>100</v>
      </c>
      <c r="C563" s="114"/>
      <c r="D563" s="441">
        <v>5.4080527999999992</v>
      </c>
      <c r="E563" s="440" t="s">
        <v>122</v>
      </c>
      <c r="F563" s="440" t="s">
        <v>121</v>
      </c>
      <c r="G563" s="440" t="s">
        <v>168</v>
      </c>
    </row>
    <row r="564" spans="2:7" ht="28.5" x14ac:dyDescent="0.35">
      <c r="B564" s="442" t="s">
        <v>39</v>
      </c>
      <c r="C564" s="291"/>
      <c r="D564" s="439"/>
      <c r="E564" s="440" t="s">
        <v>122</v>
      </c>
      <c r="F564" s="440" t="s">
        <v>121</v>
      </c>
      <c r="G564" s="440" t="s">
        <v>168</v>
      </c>
    </row>
    <row r="565" spans="2:7" x14ac:dyDescent="0.35">
      <c r="B565" s="443" t="s">
        <v>71</v>
      </c>
      <c r="C565" s="291" t="s">
        <v>25</v>
      </c>
      <c r="D565" s="439"/>
      <c r="E565" s="440" t="s">
        <v>122</v>
      </c>
      <c r="F565" s="440" t="s">
        <v>121</v>
      </c>
      <c r="G565" s="440" t="s">
        <v>168</v>
      </c>
    </row>
    <row r="566" spans="2:7" x14ac:dyDescent="0.35">
      <c r="B566" s="444" t="s">
        <v>141</v>
      </c>
      <c r="C566" s="296" t="s">
        <v>59</v>
      </c>
      <c r="D566" s="439">
        <v>0.3488</v>
      </c>
      <c r="E566" s="440" t="s">
        <v>122</v>
      </c>
      <c r="F566" s="440" t="s">
        <v>121</v>
      </c>
      <c r="G566" s="440" t="s">
        <v>168</v>
      </c>
    </row>
    <row r="567" spans="2:7" x14ac:dyDescent="0.35">
      <c r="B567" s="444" t="s">
        <v>143</v>
      </c>
      <c r="C567" s="296" t="s">
        <v>59</v>
      </c>
      <c r="D567" s="439">
        <v>27</v>
      </c>
      <c r="E567" s="440" t="s">
        <v>122</v>
      </c>
      <c r="F567" s="440" t="s">
        <v>121</v>
      </c>
      <c r="G567" s="440" t="s">
        <v>168</v>
      </c>
    </row>
    <row r="568" spans="2:7" x14ac:dyDescent="0.35">
      <c r="B568" s="445" t="s">
        <v>144</v>
      </c>
      <c r="C568" s="296" t="s">
        <v>59</v>
      </c>
      <c r="D568" s="439">
        <v>25</v>
      </c>
      <c r="E568" s="440" t="s">
        <v>122</v>
      </c>
      <c r="F568" s="440" t="s">
        <v>121</v>
      </c>
      <c r="G568" s="440" t="s">
        <v>168</v>
      </c>
    </row>
    <row r="569" spans="2:7" ht="28.5" x14ac:dyDescent="0.35">
      <c r="B569" s="442" t="s">
        <v>40</v>
      </c>
      <c r="C569" s="291" t="s">
        <v>26</v>
      </c>
      <c r="D569" s="439"/>
      <c r="E569" s="440" t="s">
        <v>122</v>
      </c>
      <c r="F569" s="440" t="s">
        <v>121</v>
      </c>
      <c r="G569" s="440" t="s">
        <v>168</v>
      </c>
    </row>
    <row r="570" spans="2:7" x14ac:dyDescent="0.35">
      <c r="B570" s="443" t="s">
        <v>71</v>
      </c>
      <c r="C570" s="291" t="s">
        <v>26</v>
      </c>
      <c r="D570" s="439"/>
      <c r="E570" s="440" t="s">
        <v>122</v>
      </c>
      <c r="F570" s="440" t="s">
        <v>121</v>
      </c>
      <c r="G570" s="440" t="s">
        <v>168</v>
      </c>
    </row>
    <row r="571" spans="2:7" x14ac:dyDescent="0.35">
      <c r="B571" s="444" t="s">
        <v>141</v>
      </c>
      <c r="C571" s="291" t="s">
        <v>26</v>
      </c>
      <c r="D571" s="439">
        <v>5.3559999999999999</v>
      </c>
      <c r="E571" s="440" t="s">
        <v>122</v>
      </c>
      <c r="F571" s="440" t="s">
        <v>121</v>
      </c>
      <c r="G571" s="440" t="s">
        <v>168</v>
      </c>
    </row>
    <row r="572" spans="2:7" x14ac:dyDescent="0.35">
      <c r="B572" s="444" t="s">
        <v>143</v>
      </c>
      <c r="C572" s="291" t="s">
        <v>26</v>
      </c>
      <c r="D572" s="439">
        <v>9.7439999999999999E-2</v>
      </c>
      <c r="E572" s="440" t="s">
        <v>122</v>
      </c>
      <c r="F572" s="440" t="s">
        <v>121</v>
      </c>
      <c r="G572" s="440" t="s">
        <v>168</v>
      </c>
    </row>
    <row r="573" spans="2:7" x14ac:dyDescent="0.35">
      <c r="B573" s="443" t="s">
        <v>144</v>
      </c>
      <c r="C573" s="291" t="s">
        <v>26</v>
      </c>
      <c r="D573" s="439">
        <v>3.6360000000000003E-2</v>
      </c>
      <c r="E573" s="440" t="s">
        <v>122</v>
      </c>
      <c r="F573" s="440" t="s">
        <v>121</v>
      </c>
      <c r="G573" s="440" t="s">
        <v>168</v>
      </c>
    </row>
    <row r="574" spans="2:7" ht="56.5" x14ac:dyDescent="0.35">
      <c r="B574" s="113" t="s">
        <v>100</v>
      </c>
      <c r="C574" s="114"/>
      <c r="D574" s="441">
        <v>14.31</v>
      </c>
      <c r="E574" s="440" t="s">
        <v>123</v>
      </c>
      <c r="F574" s="440" t="s">
        <v>121</v>
      </c>
      <c r="G574" s="440" t="s">
        <v>168</v>
      </c>
    </row>
    <row r="575" spans="2:7" ht="28.5" x14ac:dyDescent="0.35">
      <c r="B575" s="442" t="s">
        <v>39</v>
      </c>
      <c r="C575" s="291"/>
      <c r="D575" s="439"/>
      <c r="E575" s="440" t="s">
        <v>123</v>
      </c>
      <c r="F575" s="440" t="s">
        <v>121</v>
      </c>
      <c r="G575" s="440" t="s">
        <v>168</v>
      </c>
    </row>
    <row r="576" spans="2:7" x14ac:dyDescent="0.35">
      <c r="B576" s="443" t="s">
        <v>71</v>
      </c>
      <c r="C576" s="291" t="s">
        <v>25</v>
      </c>
      <c r="D576" s="439">
        <v>5</v>
      </c>
      <c r="E576" s="440" t="s">
        <v>123</v>
      </c>
      <c r="F576" s="440" t="s">
        <v>121</v>
      </c>
      <c r="G576" s="440" t="s">
        <v>168</v>
      </c>
    </row>
    <row r="577" spans="2:7" x14ac:dyDescent="0.35">
      <c r="B577" s="444" t="s">
        <v>141</v>
      </c>
      <c r="C577" s="296" t="s">
        <v>59</v>
      </c>
      <c r="D577" s="439"/>
      <c r="E577" s="440" t="s">
        <v>123</v>
      </c>
      <c r="F577" s="440" t="s">
        <v>121</v>
      </c>
      <c r="G577" s="440" t="s">
        <v>168</v>
      </c>
    </row>
    <row r="578" spans="2:7" x14ac:dyDescent="0.35">
      <c r="B578" s="444" t="s">
        <v>143</v>
      </c>
      <c r="C578" s="296" t="s">
        <v>59</v>
      </c>
      <c r="D578" s="439"/>
      <c r="E578" s="440" t="s">
        <v>123</v>
      </c>
      <c r="F578" s="440" t="s">
        <v>121</v>
      </c>
      <c r="G578" s="440" t="s">
        <v>168</v>
      </c>
    </row>
    <row r="579" spans="2:7" x14ac:dyDescent="0.35">
      <c r="B579" s="445" t="s">
        <v>144</v>
      </c>
      <c r="C579" s="296" t="s">
        <v>59</v>
      </c>
      <c r="D579" s="439"/>
      <c r="E579" s="440" t="s">
        <v>123</v>
      </c>
      <c r="F579" s="440" t="s">
        <v>121</v>
      </c>
      <c r="G579" s="440" t="s">
        <v>168</v>
      </c>
    </row>
    <row r="580" spans="2:7" ht="28.5" x14ac:dyDescent="0.35">
      <c r="B580" s="442" t="s">
        <v>40</v>
      </c>
      <c r="C580" s="291" t="s">
        <v>26</v>
      </c>
      <c r="D580" s="439"/>
      <c r="E580" s="440" t="s">
        <v>123</v>
      </c>
      <c r="F580" s="440" t="s">
        <v>121</v>
      </c>
      <c r="G580" s="440" t="s">
        <v>168</v>
      </c>
    </row>
    <row r="581" spans="2:7" x14ac:dyDescent="0.35">
      <c r="B581" s="443" t="s">
        <v>71</v>
      </c>
      <c r="C581" s="291" t="s">
        <v>26</v>
      </c>
      <c r="D581" s="439">
        <v>2.8620000000000001</v>
      </c>
      <c r="E581" s="440" t="s">
        <v>123</v>
      </c>
      <c r="F581" s="440" t="s">
        <v>121</v>
      </c>
      <c r="G581" s="440" t="s">
        <v>168</v>
      </c>
    </row>
    <row r="582" spans="2:7" x14ac:dyDescent="0.35">
      <c r="B582" s="444" t="s">
        <v>141</v>
      </c>
      <c r="C582" s="291" t="s">
        <v>26</v>
      </c>
      <c r="D582" s="439"/>
      <c r="E582" s="440" t="s">
        <v>123</v>
      </c>
      <c r="F582" s="440" t="s">
        <v>121</v>
      </c>
      <c r="G582" s="440" t="s">
        <v>168</v>
      </c>
    </row>
    <row r="583" spans="2:7" x14ac:dyDescent="0.35">
      <c r="B583" s="444" t="s">
        <v>143</v>
      </c>
      <c r="C583" s="291" t="s">
        <v>26</v>
      </c>
      <c r="D583" s="439"/>
      <c r="E583" s="440" t="s">
        <v>123</v>
      </c>
      <c r="F583" s="440" t="s">
        <v>121</v>
      </c>
      <c r="G583" s="440" t="s">
        <v>168</v>
      </c>
    </row>
    <row r="584" spans="2:7" x14ac:dyDescent="0.35">
      <c r="B584" s="443" t="s">
        <v>144</v>
      </c>
      <c r="C584" s="291" t="s">
        <v>26</v>
      </c>
      <c r="D584" s="439"/>
      <c r="E584" s="440" t="s">
        <v>123</v>
      </c>
      <c r="F584" s="440" t="s">
        <v>121</v>
      </c>
      <c r="G584" s="440" t="s">
        <v>168</v>
      </c>
    </row>
    <row r="585" spans="2:7" ht="28.5" x14ac:dyDescent="0.35">
      <c r="B585" s="226" t="s">
        <v>101</v>
      </c>
      <c r="C585" s="227"/>
      <c r="D585" s="441">
        <v>22330.947460497817</v>
      </c>
      <c r="E585" s="440" t="s">
        <v>99</v>
      </c>
      <c r="F585" s="440" t="s">
        <v>121</v>
      </c>
      <c r="G585" s="440" t="s">
        <v>168</v>
      </c>
    </row>
    <row r="586" spans="2:7" ht="56.5" x14ac:dyDescent="0.35">
      <c r="B586" s="118" t="s">
        <v>169</v>
      </c>
      <c r="C586" s="106" t="s">
        <v>30</v>
      </c>
      <c r="D586" s="439">
        <v>125253.16207462347</v>
      </c>
      <c r="E586" s="440" t="s">
        <v>99</v>
      </c>
      <c r="F586" s="440" t="s">
        <v>121</v>
      </c>
      <c r="G586" s="440" t="s">
        <v>168</v>
      </c>
    </row>
    <row r="587" spans="2:7" x14ac:dyDescent="0.35">
      <c r="B587" s="118" t="s">
        <v>170</v>
      </c>
      <c r="C587" s="106" t="s">
        <v>7</v>
      </c>
      <c r="D587" s="439">
        <v>194634.06</v>
      </c>
      <c r="E587" s="440" t="s">
        <v>99</v>
      </c>
      <c r="F587" s="440" t="s">
        <v>121</v>
      </c>
      <c r="G587" s="440" t="s">
        <v>168</v>
      </c>
    </row>
    <row r="588" spans="2:7" ht="56.5" x14ac:dyDescent="0.35">
      <c r="B588" s="118" t="s">
        <v>171</v>
      </c>
      <c r="C588" s="106" t="s">
        <v>30</v>
      </c>
      <c r="D588" s="439">
        <v>174800.65022066166</v>
      </c>
      <c r="E588" s="440" t="s">
        <v>99</v>
      </c>
      <c r="F588" s="440" t="s">
        <v>121</v>
      </c>
      <c r="G588" s="440" t="s">
        <v>168</v>
      </c>
    </row>
    <row r="589" spans="2:7" x14ac:dyDescent="0.35">
      <c r="B589" s="118" t="s">
        <v>172</v>
      </c>
      <c r="C589" s="106" t="s">
        <v>7</v>
      </c>
      <c r="D589" s="439">
        <v>230527.25899999999</v>
      </c>
      <c r="E589" s="440" t="s">
        <v>99</v>
      </c>
      <c r="F589" s="440" t="s">
        <v>121</v>
      </c>
      <c r="G589" s="440" t="s">
        <v>168</v>
      </c>
    </row>
    <row r="590" spans="2:7" ht="28.5" x14ac:dyDescent="0.35">
      <c r="B590" s="226" t="s">
        <v>101</v>
      </c>
      <c r="C590" s="227"/>
      <c r="D590" s="441">
        <v>7355.2370839336481</v>
      </c>
      <c r="E590" s="440" t="s">
        <v>122</v>
      </c>
      <c r="F590" s="440" t="s">
        <v>121</v>
      </c>
      <c r="G590" s="440" t="s">
        <v>168</v>
      </c>
    </row>
    <row r="591" spans="2:7" ht="56.5" x14ac:dyDescent="0.35">
      <c r="B591" s="118" t="s">
        <v>169</v>
      </c>
      <c r="C591" s="106" t="s">
        <v>30</v>
      </c>
      <c r="D591" s="439">
        <v>50596.65346586697</v>
      </c>
      <c r="E591" s="440" t="s">
        <v>122</v>
      </c>
      <c r="F591" s="440" t="s">
        <v>121</v>
      </c>
      <c r="G591" s="440" t="s">
        <v>168</v>
      </c>
    </row>
    <row r="592" spans="2:7" x14ac:dyDescent="0.35">
      <c r="B592" s="118" t="s">
        <v>170</v>
      </c>
      <c r="C592" s="106" t="s">
        <v>7</v>
      </c>
      <c r="D592" s="439">
        <v>86968.74</v>
      </c>
      <c r="E592" s="440" t="s">
        <v>122</v>
      </c>
      <c r="F592" s="440" t="s">
        <v>121</v>
      </c>
      <c r="G592" s="440" t="s">
        <v>168</v>
      </c>
    </row>
    <row r="593" spans="2:7" ht="56.5" x14ac:dyDescent="0.35">
      <c r="B593" s="118" t="s">
        <v>171</v>
      </c>
      <c r="C593" s="106" t="s">
        <v>30</v>
      </c>
      <c r="D593" s="439">
        <v>58158.773200497832</v>
      </c>
      <c r="E593" s="440" t="s">
        <v>122</v>
      </c>
      <c r="F593" s="440" t="s">
        <v>121</v>
      </c>
      <c r="G593" s="440" t="s">
        <v>168</v>
      </c>
    </row>
    <row r="594" spans="2:7" x14ac:dyDescent="0.35">
      <c r="B594" s="118" t="s">
        <v>172</v>
      </c>
      <c r="C594" s="106" t="s">
        <v>7</v>
      </c>
      <c r="D594" s="439">
        <v>87279.21</v>
      </c>
      <c r="E594" s="440" t="s">
        <v>122</v>
      </c>
      <c r="F594" s="440" t="s">
        <v>121</v>
      </c>
      <c r="G594" s="440" t="s">
        <v>168</v>
      </c>
    </row>
    <row r="595" spans="2:7" ht="28.5" x14ac:dyDescent="0.35">
      <c r="B595" s="226" t="s">
        <v>101</v>
      </c>
      <c r="C595" s="227"/>
      <c r="D595" s="441">
        <v>4495.7409316475778</v>
      </c>
      <c r="E595" s="440" t="s">
        <v>123</v>
      </c>
      <c r="F595" s="440" t="s">
        <v>121</v>
      </c>
      <c r="G595" s="440" t="s">
        <v>168</v>
      </c>
    </row>
    <row r="596" spans="2:7" ht="56.5" x14ac:dyDescent="0.35">
      <c r="B596" s="118" t="s">
        <v>169</v>
      </c>
      <c r="C596" s="106" t="s">
        <v>30</v>
      </c>
      <c r="D596" s="439">
        <v>44739.134459509572</v>
      </c>
      <c r="E596" s="440" t="s">
        <v>123</v>
      </c>
      <c r="F596" s="440" t="s">
        <v>121</v>
      </c>
      <c r="G596" s="440" t="s">
        <v>168</v>
      </c>
    </row>
    <row r="597" spans="2:7" x14ac:dyDescent="0.35">
      <c r="B597" s="118" t="s">
        <v>170</v>
      </c>
      <c r="C597" s="106" t="s">
        <v>7</v>
      </c>
      <c r="D597" s="439">
        <v>58103.56</v>
      </c>
      <c r="E597" s="440" t="s">
        <v>123</v>
      </c>
      <c r="F597" s="440" t="s">
        <v>121</v>
      </c>
      <c r="G597" s="440" t="s">
        <v>168</v>
      </c>
    </row>
    <row r="598" spans="2:7" ht="56.5" x14ac:dyDescent="0.35">
      <c r="B598" s="118" t="s">
        <v>171</v>
      </c>
      <c r="C598" s="106" t="s">
        <v>30</v>
      </c>
      <c r="D598" s="439">
        <v>51142.156578840528</v>
      </c>
      <c r="E598" s="440" t="s">
        <v>123</v>
      </c>
      <c r="F598" s="440" t="s">
        <v>121</v>
      </c>
      <c r="G598" s="440" t="s">
        <v>168</v>
      </c>
    </row>
    <row r="599" spans="2:7" x14ac:dyDescent="0.35">
      <c r="B599" s="118" t="s">
        <v>172</v>
      </c>
      <c r="C599" s="106" t="s">
        <v>7</v>
      </c>
      <c r="D599" s="439">
        <v>60354.400000000001</v>
      </c>
      <c r="E599" s="440" t="s">
        <v>123</v>
      </c>
      <c r="F599" s="440" t="s">
        <v>121</v>
      </c>
      <c r="G599" s="440" t="s">
        <v>168</v>
      </c>
    </row>
    <row r="600" spans="2:7" ht="42" x14ac:dyDescent="0.35">
      <c r="B600" s="107" t="s">
        <v>98</v>
      </c>
      <c r="C600" s="108"/>
      <c r="D600" s="441">
        <v>0</v>
      </c>
      <c r="E600" s="440" t="s">
        <v>99</v>
      </c>
      <c r="F600" s="440" t="s">
        <v>121</v>
      </c>
      <c r="G600" s="440" t="s">
        <v>173</v>
      </c>
    </row>
    <row r="601" spans="2:7" x14ac:dyDescent="0.35">
      <c r="B601" s="109" t="s">
        <v>11</v>
      </c>
      <c r="C601" s="104" t="s">
        <v>5</v>
      </c>
      <c r="D601" s="439">
        <v>43</v>
      </c>
      <c r="E601" s="440" t="s">
        <v>99</v>
      </c>
      <c r="F601" s="440" t="s">
        <v>121</v>
      </c>
      <c r="G601" s="440" t="s">
        <v>173</v>
      </c>
    </row>
    <row r="602" spans="2:7" x14ac:dyDescent="0.35">
      <c r="B602" s="110" t="s">
        <v>48</v>
      </c>
      <c r="C602" s="104" t="s">
        <v>5</v>
      </c>
      <c r="D602" s="439">
        <v>13532</v>
      </c>
      <c r="E602" s="440" t="s">
        <v>99</v>
      </c>
      <c r="F602" s="440" t="s">
        <v>121</v>
      </c>
      <c r="G602" s="440" t="s">
        <v>173</v>
      </c>
    </row>
    <row r="603" spans="2:7" x14ac:dyDescent="0.35">
      <c r="B603" s="110" t="s">
        <v>49</v>
      </c>
      <c r="C603" s="104" t="s">
        <v>5</v>
      </c>
      <c r="D603" s="439">
        <v>13532</v>
      </c>
      <c r="E603" s="440" t="s">
        <v>99</v>
      </c>
      <c r="F603" s="440" t="s">
        <v>121</v>
      </c>
      <c r="G603" s="440" t="s">
        <v>173</v>
      </c>
    </row>
    <row r="604" spans="2:7" x14ac:dyDescent="0.35">
      <c r="B604" s="111" t="s">
        <v>44</v>
      </c>
      <c r="C604" s="104" t="s">
        <v>5</v>
      </c>
      <c r="D604" s="439">
        <v>0</v>
      </c>
      <c r="E604" s="440" t="s">
        <v>99</v>
      </c>
      <c r="F604" s="440" t="s">
        <v>121</v>
      </c>
      <c r="G604" s="440" t="s">
        <v>173</v>
      </c>
    </row>
    <row r="605" spans="2:7" x14ac:dyDescent="0.35">
      <c r="B605" s="111" t="s">
        <v>45</v>
      </c>
      <c r="C605" s="104" t="s">
        <v>5</v>
      </c>
      <c r="D605" s="439">
        <v>0</v>
      </c>
      <c r="E605" s="440" t="s">
        <v>99</v>
      </c>
      <c r="F605" s="440" t="s">
        <v>121</v>
      </c>
      <c r="G605" s="440" t="s">
        <v>173</v>
      </c>
    </row>
    <row r="606" spans="2:7" x14ac:dyDescent="0.35">
      <c r="B606" s="110" t="s">
        <v>42</v>
      </c>
      <c r="C606" s="105" t="s">
        <v>7</v>
      </c>
      <c r="D606" s="439">
        <v>195255.24</v>
      </c>
      <c r="E606" s="440" t="s">
        <v>99</v>
      </c>
      <c r="F606" s="440" t="s">
        <v>121</v>
      </c>
      <c r="G606" s="440" t="s">
        <v>173</v>
      </c>
    </row>
    <row r="607" spans="2:7" x14ac:dyDescent="0.35">
      <c r="B607" s="110" t="s">
        <v>50</v>
      </c>
      <c r="C607" s="105" t="s">
        <v>7</v>
      </c>
      <c r="D607" s="439">
        <v>195255.24</v>
      </c>
      <c r="E607" s="440" t="s">
        <v>99</v>
      </c>
      <c r="F607" s="440" t="s">
        <v>121</v>
      </c>
      <c r="G607" s="440" t="s">
        <v>173</v>
      </c>
    </row>
    <row r="608" spans="2:7" x14ac:dyDescent="0.35">
      <c r="B608" s="112" t="s">
        <v>46</v>
      </c>
      <c r="C608" s="105" t="s">
        <v>7</v>
      </c>
      <c r="D608" s="439">
        <v>0</v>
      </c>
      <c r="E608" s="440" t="s">
        <v>99</v>
      </c>
      <c r="F608" s="440" t="s">
        <v>121</v>
      </c>
      <c r="G608" s="440" t="s">
        <v>173</v>
      </c>
    </row>
    <row r="609" spans="2:7" x14ac:dyDescent="0.35">
      <c r="B609" s="112" t="s">
        <v>47</v>
      </c>
      <c r="C609" s="105" t="s">
        <v>7</v>
      </c>
      <c r="D609" s="439">
        <v>0</v>
      </c>
      <c r="E609" s="440" t="s">
        <v>99</v>
      </c>
      <c r="F609" s="440" t="s">
        <v>121</v>
      </c>
      <c r="G609" s="440" t="s">
        <v>173</v>
      </c>
    </row>
    <row r="610" spans="2:7" x14ac:dyDescent="0.35">
      <c r="B610" s="110" t="s">
        <v>43</v>
      </c>
      <c r="C610" s="223" t="s">
        <v>8</v>
      </c>
      <c r="D610" s="439">
        <v>1.6497606204228714</v>
      </c>
      <c r="E610" s="440" t="s">
        <v>99</v>
      </c>
      <c r="F610" s="440" t="s">
        <v>121</v>
      </c>
      <c r="G610" s="440" t="s">
        <v>173</v>
      </c>
    </row>
    <row r="611" spans="2:7" ht="42" x14ac:dyDescent="0.35">
      <c r="B611" s="107" t="s">
        <v>98</v>
      </c>
      <c r="C611" s="108"/>
      <c r="D611" s="441">
        <v>0</v>
      </c>
      <c r="E611" s="440" t="s">
        <v>122</v>
      </c>
      <c r="F611" s="440" t="s">
        <v>121</v>
      </c>
      <c r="G611" s="440" t="s">
        <v>173</v>
      </c>
    </row>
    <row r="612" spans="2:7" x14ac:dyDescent="0.35">
      <c r="B612" s="109" t="s">
        <v>11</v>
      </c>
      <c r="C612" s="104" t="s">
        <v>5</v>
      </c>
      <c r="D612" s="439">
        <v>13</v>
      </c>
      <c r="E612" s="440" t="s">
        <v>122</v>
      </c>
      <c r="F612" s="440" t="s">
        <v>121</v>
      </c>
      <c r="G612" s="440" t="s">
        <v>173</v>
      </c>
    </row>
    <row r="613" spans="2:7" x14ac:dyDescent="0.35">
      <c r="B613" s="110" t="s">
        <v>48</v>
      </c>
      <c r="C613" s="104" t="s">
        <v>5</v>
      </c>
      <c r="D613" s="439">
        <v>8938</v>
      </c>
      <c r="E613" s="440" t="s">
        <v>122</v>
      </c>
      <c r="F613" s="440" t="s">
        <v>121</v>
      </c>
      <c r="G613" s="440" t="s">
        <v>173</v>
      </c>
    </row>
    <row r="614" spans="2:7" x14ac:dyDescent="0.35">
      <c r="B614" s="110" t="s">
        <v>49</v>
      </c>
      <c r="C614" s="104" t="s">
        <v>5</v>
      </c>
      <c r="D614" s="439">
        <v>8938</v>
      </c>
      <c r="E614" s="440" t="s">
        <v>122</v>
      </c>
      <c r="F614" s="440" t="s">
        <v>121</v>
      </c>
      <c r="G614" s="440" t="s">
        <v>173</v>
      </c>
    </row>
    <row r="615" spans="2:7" x14ac:dyDescent="0.35">
      <c r="B615" s="111" t="s">
        <v>44</v>
      </c>
      <c r="C615" s="104" t="s">
        <v>5</v>
      </c>
      <c r="D615" s="439">
        <v>0</v>
      </c>
      <c r="E615" s="440" t="s">
        <v>122</v>
      </c>
      <c r="F615" s="440" t="s">
        <v>121</v>
      </c>
      <c r="G615" s="440" t="s">
        <v>173</v>
      </c>
    </row>
    <row r="616" spans="2:7" x14ac:dyDescent="0.35">
      <c r="B616" s="111" t="s">
        <v>45</v>
      </c>
      <c r="C616" s="104" t="s">
        <v>5</v>
      </c>
      <c r="D616" s="439">
        <v>0</v>
      </c>
      <c r="E616" s="440" t="s">
        <v>122</v>
      </c>
      <c r="F616" s="440" t="s">
        <v>121</v>
      </c>
      <c r="G616" s="440" t="s">
        <v>173</v>
      </c>
    </row>
    <row r="617" spans="2:7" x14ac:dyDescent="0.35">
      <c r="B617" s="110" t="s">
        <v>42</v>
      </c>
      <c r="C617" s="105" t="s">
        <v>7</v>
      </c>
      <c r="D617" s="439">
        <v>84714.880000000005</v>
      </c>
      <c r="E617" s="440" t="s">
        <v>122</v>
      </c>
      <c r="F617" s="440" t="s">
        <v>121</v>
      </c>
      <c r="G617" s="440" t="s">
        <v>173</v>
      </c>
    </row>
    <row r="618" spans="2:7" x14ac:dyDescent="0.35">
      <c r="B618" s="110" t="s">
        <v>50</v>
      </c>
      <c r="C618" s="105" t="s">
        <v>7</v>
      </c>
      <c r="D618" s="439">
        <v>84714.880000000005</v>
      </c>
      <c r="E618" s="440" t="s">
        <v>122</v>
      </c>
      <c r="F618" s="440" t="s">
        <v>121</v>
      </c>
      <c r="G618" s="440" t="s">
        <v>173</v>
      </c>
    </row>
    <row r="619" spans="2:7" x14ac:dyDescent="0.35">
      <c r="B619" s="112" t="s">
        <v>46</v>
      </c>
      <c r="C619" s="105" t="s">
        <v>7</v>
      </c>
      <c r="D619" s="439">
        <v>0</v>
      </c>
      <c r="E619" s="440" t="s">
        <v>122</v>
      </c>
      <c r="F619" s="440" t="s">
        <v>121</v>
      </c>
      <c r="G619" s="440" t="s">
        <v>173</v>
      </c>
    </row>
    <row r="620" spans="2:7" x14ac:dyDescent="0.35">
      <c r="B620" s="112" t="s">
        <v>47</v>
      </c>
      <c r="C620" s="105" t="s">
        <v>7</v>
      </c>
      <c r="D620" s="439">
        <v>0</v>
      </c>
      <c r="E620" s="440" t="s">
        <v>122</v>
      </c>
      <c r="F620" s="440" t="s">
        <v>121</v>
      </c>
      <c r="G620" s="440" t="s">
        <v>173</v>
      </c>
    </row>
    <row r="621" spans="2:7" x14ac:dyDescent="0.35">
      <c r="B621" s="110" t="s">
        <v>43</v>
      </c>
      <c r="C621" s="223" t="s">
        <v>8</v>
      </c>
      <c r="D621" s="439">
        <v>0.84440000000000004</v>
      </c>
      <c r="E621" s="440" t="s">
        <v>122</v>
      </c>
      <c r="F621" s="440" t="s">
        <v>121</v>
      </c>
      <c r="G621" s="440" t="s">
        <v>173</v>
      </c>
    </row>
    <row r="622" spans="2:7" ht="42" x14ac:dyDescent="0.35">
      <c r="B622" s="107" t="s">
        <v>98</v>
      </c>
      <c r="C622" s="108"/>
      <c r="D622" s="441">
        <v>0</v>
      </c>
      <c r="E622" s="440" t="s">
        <v>123</v>
      </c>
      <c r="F622" s="440" t="s">
        <v>121</v>
      </c>
      <c r="G622" s="440" t="s">
        <v>173</v>
      </c>
    </row>
    <row r="623" spans="2:7" x14ac:dyDescent="0.35">
      <c r="B623" s="109" t="s">
        <v>11</v>
      </c>
      <c r="C623" s="104" t="s">
        <v>5</v>
      </c>
      <c r="D623" s="439">
        <v>21</v>
      </c>
      <c r="E623" s="440" t="s">
        <v>123</v>
      </c>
      <c r="F623" s="440" t="s">
        <v>121</v>
      </c>
      <c r="G623" s="440" t="s">
        <v>173</v>
      </c>
    </row>
    <row r="624" spans="2:7" x14ac:dyDescent="0.35">
      <c r="B624" s="110" t="s">
        <v>48</v>
      </c>
      <c r="C624" s="104" t="s">
        <v>5</v>
      </c>
      <c r="D624" s="439">
        <v>7928</v>
      </c>
      <c r="E624" s="440" t="s">
        <v>123</v>
      </c>
      <c r="F624" s="440" t="s">
        <v>121</v>
      </c>
      <c r="G624" s="440" t="s">
        <v>173</v>
      </c>
    </row>
    <row r="625" spans="2:7" x14ac:dyDescent="0.35">
      <c r="B625" s="110" t="s">
        <v>49</v>
      </c>
      <c r="C625" s="104" t="s">
        <v>5</v>
      </c>
      <c r="D625" s="439">
        <v>7928</v>
      </c>
      <c r="E625" s="440" t="s">
        <v>123</v>
      </c>
      <c r="F625" s="440" t="s">
        <v>121</v>
      </c>
      <c r="G625" s="440" t="s">
        <v>173</v>
      </c>
    </row>
    <row r="626" spans="2:7" x14ac:dyDescent="0.35">
      <c r="B626" s="111" t="s">
        <v>44</v>
      </c>
      <c r="C626" s="104" t="s">
        <v>5</v>
      </c>
      <c r="D626" s="439">
        <v>0</v>
      </c>
      <c r="E626" s="440" t="s">
        <v>123</v>
      </c>
      <c r="F626" s="440" t="s">
        <v>121</v>
      </c>
      <c r="G626" s="440" t="s">
        <v>173</v>
      </c>
    </row>
    <row r="627" spans="2:7" x14ac:dyDescent="0.35">
      <c r="B627" s="111" t="s">
        <v>45</v>
      </c>
      <c r="C627" s="104" t="s">
        <v>5</v>
      </c>
      <c r="D627" s="439">
        <v>0</v>
      </c>
      <c r="E627" s="440" t="s">
        <v>123</v>
      </c>
      <c r="F627" s="440" t="s">
        <v>121</v>
      </c>
      <c r="G627" s="440" t="s">
        <v>173</v>
      </c>
    </row>
    <row r="628" spans="2:7" x14ac:dyDescent="0.35">
      <c r="B628" s="110" t="s">
        <v>42</v>
      </c>
      <c r="C628" s="105" t="s">
        <v>7</v>
      </c>
      <c r="D628" s="439">
        <v>56451.12</v>
      </c>
      <c r="E628" s="440" t="s">
        <v>123</v>
      </c>
      <c r="F628" s="440" t="s">
        <v>121</v>
      </c>
      <c r="G628" s="440" t="s">
        <v>173</v>
      </c>
    </row>
    <row r="629" spans="2:7" x14ac:dyDescent="0.35">
      <c r="B629" s="110" t="s">
        <v>50</v>
      </c>
      <c r="C629" s="105" t="s">
        <v>7</v>
      </c>
      <c r="D629" s="439">
        <v>56451.12</v>
      </c>
      <c r="E629" s="440" t="s">
        <v>123</v>
      </c>
      <c r="F629" s="440" t="s">
        <v>121</v>
      </c>
      <c r="G629" s="440" t="s">
        <v>173</v>
      </c>
    </row>
    <row r="630" spans="2:7" x14ac:dyDescent="0.35">
      <c r="B630" s="112" t="s">
        <v>46</v>
      </c>
      <c r="C630" s="105" t="s">
        <v>7</v>
      </c>
      <c r="D630" s="439">
        <v>0</v>
      </c>
      <c r="E630" s="440" t="s">
        <v>123</v>
      </c>
      <c r="F630" s="440" t="s">
        <v>121</v>
      </c>
      <c r="G630" s="440" t="s">
        <v>173</v>
      </c>
    </row>
    <row r="631" spans="2:7" x14ac:dyDescent="0.35">
      <c r="B631" s="112" t="s">
        <v>47</v>
      </c>
      <c r="C631" s="105" t="s">
        <v>7</v>
      </c>
      <c r="D631" s="439">
        <v>0</v>
      </c>
      <c r="E631" s="440" t="s">
        <v>123</v>
      </c>
      <c r="F631" s="440" t="s">
        <v>121</v>
      </c>
      <c r="G631" s="440" t="s">
        <v>173</v>
      </c>
    </row>
    <row r="632" spans="2:7" x14ac:dyDescent="0.35">
      <c r="B632" s="110" t="s">
        <v>43</v>
      </c>
      <c r="C632" s="223" t="s">
        <v>8</v>
      </c>
      <c r="D632" s="439">
        <v>3.0769000000000002</v>
      </c>
      <c r="E632" s="440" t="s">
        <v>123</v>
      </c>
      <c r="F632" s="440" t="s">
        <v>121</v>
      </c>
      <c r="G632" s="440" t="s">
        <v>173</v>
      </c>
    </row>
    <row r="633" spans="2:7" ht="56.5" x14ac:dyDescent="0.35">
      <c r="B633" s="113" t="s">
        <v>100</v>
      </c>
      <c r="C633" s="114"/>
      <c r="D633" s="441">
        <v>0</v>
      </c>
      <c r="E633" s="440" t="s">
        <v>99</v>
      </c>
      <c r="F633" s="440" t="s">
        <v>121</v>
      </c>
      <c r="G633" s="440" t="s">
        <v>173</v>
      </c>
    </row>
    <row r="634" spans="2:7" ht="28.5" x14ac:dyDescent="0.35">
      <c r="B634" s="446" t="s">
        <v>39</v>
      </c>
      <c r="C634" s="369"/>
      <c r="D634" s="439"/>
      <c r="E634" s="440" t="s">
        <v>99</v>
      </c>
      <c r="F634" s="440" t="s">
        <v>121</v>
      </c>
      <c r="G634" s="440" t="s">
        <v>173</v>
      </c>
    </row>
    <row r="635" spans="2:7" x14ac:dyDescent="0.35">
      <c r="B635" s="447" t="s">
        <v>61</v>
      </c>
      <c r="C635" s="369" t="s">
        <v>25</v>
      </c>
      <c r="D635" s="439"/>
      <c r="E635" s="440" t="s">
        <v>99</v>
      </c>
      <c r="F635" s="440" t="s">
        <v>121</v>
      </c>
      <c r="G635" s="440" t="s">
        <v>173</v>
      </c>
    </row>
    <row r="636" spans="2:7" ht="28.5" x14ac:dyDescent="0.35">
      <c r="B636" s="446" t="s">
        <v>40</v>
      </c>
      <c r="C636" s="537" t="s">
        <v>26</v>
      </c>
      <c r="D636" s="439"/>
      <c r="E636" s="440" t="s">
        <v>99</v>
      </c>
      <c r="F636" s="440" t="s">
        <v>121</v>
      </c>
      <c r="G636" s="440" t="s">
        <v>173</v>
      </c>
    </row>
    <row r="637" spans="2:7" x14ac:dyDescent="0.35">
      <c r="B637" s="447" t="s">
        <v>71</v>
      </c>
      <c r="C637" s="537"/>
      <c r="D637" s="439"/>
      <c r="E637" s="440" t="s">
        <v>99</v>
      </c>
      <c r="F637" s="440" t="s">
        <v>121</v>
      </c>
      <c r="G637" s="440" t="s">
        <v>173</v>
      </c>
    </row>
    <row r="638" spans="2:7" ht="56.5" x14ac:dyDescent="0.35">
      <c r="B638" s="113" t="s">
        <v>100</v>
      </c>
      <c r="C638" s="114"/>
      <c r="D638" s="441">
        <v>0</v>
      </c>
      <c r="E638" s="440" t="s">
        <v>122</v>
      </c>
      <c r="F638" s="440" t="s">
        <v>121</v>
      </c>
      <c r="G638" s="440" t="s">
        <v>173</v>
      </c>
    </row>
    <row r="639" spans="2:7" ht="28.5" x14ac:dyDescent="0.35">
      <c r="B639" s="446" t="s">
        <v>39</v>
      </c>
      <c r="C639" s="369"/>
      <c r="D639" s="439"/>
      <c r="E639" s="440" t="s">
        <v>122</v>
      </c>
      <c r="F639" s="440" t="s">
        <v>121</v>
      </c>
      <c r="G639" s="440" t="s">
        <v>173</v>
      </c>
    </row>
    <row r="640" spans="2:7" x14ac:dyDescent="0.35">
      <c r="B640" s="447" t="s">
        <v>61</v>
      </c>
      <c r="C640" s="369" t="s">
        <v>25</v>
      </c>
      <c r="D640" s="439"/>
      <c r="E640" s="440" t="s">
        <v>122</v>
      </c>
      <c r="F640" s="440" t="s">
        <v>121</v>
      </c>
      <c r="G640" s="440" t="s">
        <v>173</v>
      </c>
    </row>
    <row r="641" spans="2:7" ht="28.5" x14ac:dyDescent="0.35">
      <c r="B641" s="446" t="s">
        <v>40</v>
      </c>
      <c r="C641" s="537" t="s">
        <v>26</v>
      </c>
      <c r="D641" s="439"/>
      <c r="E641" s="440" t="s">
        <v>122</v>
      </c>
      <c r="F641" s="440" t="s">
        <v>121</v>
      </c>
      <c r="G641" s="440" t="s">
        <v>173</v>
      </c>
    </row>
    <row r="642" spans="2:7" x14ac:dyDescent="0.35">
      <c r="B642" s="447" t="s">
        <v>71</v>
      </c>
      <c r="C642" s="537"/>
      <c r="D642" s="439"/>
      <c r="E642" s="440" t="s">
        <v>122</v>
      </c>
      <c r="F642" s="440" t="s">
        <v>121</v>
      </c>
      <c r="G642" s="440" t="s">
        <v>173</v>
      </c>
    </row>
    <row r="643" spans="2:7" ht="56.5" x14ac:dyDescent="0.35">
      <c r="B643" s="113" t="s">
        <v>100</v>
      </c>
      <c r="C643" s="114"/>
      <c r="D643" s="441">
        <v>12.36</v>
      </c>
      <c r="E643" s="440" t="s">
        <v>123</v>
      </c>
      <c r="F643" s="440" t="s">
        <v>121</v>
      </c>
      <c r="G643" s="440" t="s">
        <v>173</v>
      </c>
    </row>
    <row r="644" spans="2:7" ht="28.5" x14ac:dyDescent="0.35">
      <c r="B644" s="446" t="s">
        <v>39</v>
      </c>
      <c r="C644" s="369"/>
      <c r="D644" s="439"/>
      <c r="E644" s="440" t="s">
        <v>123</v>
      </c>
      <c r="F644" s="440" t="s">
        <v>121</v>
      </c>
      <c r="G644" s="440" t="s">
        <v>173</v>
      </c>
    </row>
    <row r="645" spans="2:7" x14ac:dyDescent="0.35">
      <c r="B645" s="447" t="s">
        <v>61</v>
      </c>
      <c r="C645" s="369" t="s">
        <v>25</v>
      </c>
      <c r="D645" s="439">
        <v>5</v>
      </c>
      <c r="E645" s="440" t="s">
        <v>123</v>
      </c>
      <c r="F645" s="440" t="s">
        <v>121</v>
      </c>
      <c r="G645" s="440" t="s">
        <v>173</v>
      </c>
    </row>
    <row r="646" spans="2:7" ht="28.5" x14ac:dyDescent="0.35">
      <c r="B646" s="446" t="s">
        <v>40</v>
      </c>
      <c r="C646" s="537" t="s">
        <v>26</v>
      </c>
      <c r="D646" s="439"/>
      <c r="E646" s="440" t="s">
        <v>123</v>
      </c>
      <c r="F646" s="440" t="s">
        <v>121</v>
      </c>
      <c r="G646" s="440" t="s">
        <v>173</v>
      </c>
    </row>
    <row r="647" spans="2:7" x14ac:dyDescent="0.35">
      <c r="B647" s="447" t="s">
        <v>71</v>
      </c>
      <c r="C647" s="537"/>
      <c r="D647" s="439">
        <v>2.472</v>
      </c>
      <c r="E647" s="440" t="s">
        <v>123</v>
      </c>
      <c r="F647" s="440" t="s">
        <v>121</v>
      </c>
      <c r="G647" s="440" t="s">
        <v>173</v>
      </c>
    </row>
    <row r="648" spans="2:7" ht="28.5" x14ac:dyDescent="0.35">
      <c r="B648" s="226" t="s">
        <v>101</v>
      </c>
      <c r="C648" s="227"/>
      <c r="D648" s="441">
        <v>20214.693947085114</v>
      </c>
      <c r="E648" s="440" t="s">
        <v>99</v>
      </c>
      <c r="F648" s="440" t="s">
        <v>121</v>
      </c>
      <c r="G648" s="440" t="s">
        <v>173</v>
      </c>
    </row>
    <row r="649" spans="2:7" ht="56.5" x14ac:dyDescent="0.35">
      <c r="B649" s="118" t="s">
        <v>174</v>
      </c>
      <c r="C649" s="106" t="s">
        <v>30</v>
      </c>
      <c r="D649" s="439">
        <v>142338.35782071628</v>
      </c>
      <c r="E649" s="440" t="s">
        <v>99</v>
      </c>
      <c r="F649" s="440" t="s">
        <v>121</v>
      </c>
      <c r="G649" s="440" t="s">
        <v>173</v>
      </c>
    </row>
    <row r="650" spans="2:7" x14ac:dyDescent="0.35">
      <c r="B650" s="118" t="s">
        <v>175</v>
      </c>
      <c r="C650" s="106" t="s">
        <v>7</v>
      </c>
      <c r="D650" s="439">
        <v>195255.24</v>
      </c>
      <c r="E650" s="440" t="s">
        <v>99</v>
      </c>
      <c r="F650" s="440" t="s">
        <v>121</v>
      </c>
      <c r="G650" s="440" t="s">
        <v>173</v>
      </c>
    </row>
    <row r="651" spans="2:7" ht="56.5" x14ac:dyDescent="0.35">
      <c r="B651" s="118" t="s">
        <v>176</v>
      </c>
      <c r="C651" s="106" t="s">
        <v>30</v>
      </c>
      <c r="D651" s="439">
        <v>189252.3304380051</v>
      </c>
      <c r="E651" s="440" t="s">
        <v>99</v>
      </c>
      <c r="F651" s="440" t="s">
        <v>121</v>
      </c>
      <c r="G651" s="440" t="s">
        <v>173</v>
      </c>
    </row>
    <row r="652" spans="2:7" x14ac:dyDescent="0.35">
      <c r="B652" s="118" t="s">
        <v>177</v>
      </c>
      <c r="C652" s="106" t="s">
        <v>7</v>
      </c>
      <c r="D652" s="439">
        <v>227325.84099999999</v>
      </c>
      <c r="E652" s="440" t="s">
        <v>99</v>
      </c>
      <c r="F652" s="440" t="s">
        <v>121</v>
      </c>
      <c r="G652" s="440" t="s">
        <v>173</v>
      </c>
    </row>
    <row r="653" spans="2:7" ht="28.5" x14ac:dyDescent="0.35">
      <c r="B653" s="226" t="s">
        <v>101</v>
      </c>
      <c r="C653" s="227"/>
      <c r="D653" s="441">
        <v>7497.5308328569909</v>
      </c>
      <c r="E653" s="440" t="s">
        <v>122</v>
      </c>
      <c r="F653" s="440" t="s">
        <v>121</v>
      </c>
      <c r="G653" s="440" t="s">
        <v>173</v>
      </c>
    </row>
    <row r="654" spans="2:7" ht="56.5" x14ac:dyDescent="0.35">
      <c r="B654" s="118" t="s">
        <v>174</v>
      </c>
      <c r="C654" s="106" t="s">
        <v>30</v>
      </c>
      <c r="D654" s="439">
        <v>56608.431018671305</v>
      </c>
      <c r="E654" s="440" t="s">
        <v>122</v>
      </c>
      <c r="F654" s="440" t="s">
        <v>121</v>
      </c>
      <c r="G654" s="440" t="s">
        <v>173</v>
      </c>
    </row>
    <row r="655" spans="2:7" x14ac:dyDescent="0.35">
      <c r="B655" s="118" t="s">
        <v>175</v>
      </c>
      <c r="C655" s="106" t="s">
        <v>7</v>
      </c>
      <c r="D655" s="439">
        <v>84714.880000000005</v>
      </c>
      <c r="E655" s="440" t="s">
        <v>122</v>
      </c>
      <c r="F655" s="440" t="s">
        <v>121</v>
      </c>
      <c r="G655" s="440" t="s">
        <v>173</v>
      </c>
    </row>
    <row r="656" spans="2:7" ht="56.5" x14ac:dyDescent="0.35">
      <c r="B656" s="118" t="s">
        <v>176</v>
      </c>
      <c r="C656" s="106" t="s">
        <v>30</v>
      </c>
      <c r="D656" s="439">
        <v>64058.076223100739</v>
      </c>
      <c r="E656" s="440" t="s">
        <v>122</v>
      </c>
      <c r="F656" s="440" t="s">
        <v>121</v>
      </c>
      <c r="G656" s="440" t="s">
        <v>173</v>
      </c>
    </row>
    <row r="657" spans="2:7" x14ac:dyDescent="0.35">
      <c r="B657" s="118" t="s">
        <v>177</v>
      </c>
      <c r="C657" s="106" t="s">
        <v>7</v>
      </c>
      <c r="D657" s="439">
        <v>84651.6</v>
      </c>
      <c r="E657" s="440" t="s">
        <v>122</v>
      </c>
      <c r="F657" s="440" t="s">
        <v>121</v>
      </c>
      <c r="G657" s="440" t="s">
        <v>173</v>
      </c>
    </row>
    <row r="658" spans="2:7" ht="28.5" x14ac:dyDescent="0.35">
      <c r="B658" s="226" t="s">
        <v>101</v>
      </c>
      <c r="C658" s="227"/>
      <c r="D658" s="441">
        <v>3008.5846300603012</v>
      </c>
      <c r="E658" s="440" t="s">
        <v>123</v>
      </c>
      <c r="F658" s="440" t="s">
        <v>121</v>
      </c>
      <c r="G658" s="440" t="s">
        <v>173</v>
      </c>
    </row>
    <row r="659" spans="2:7" ht="56.5" x14ac:dyDescent="0.35">
      <c r="B659" s="118" t="s">
        <v>174</v>
      </c>
      <c r="C659" s="106" t="s">
        <v>30</v>
      </c>
      <c r="D659" s="439">
        <v>46198.151160612419</v>
      </c>
      <c r="E659" s="440" t="s">
        <v>123</v>
      </c>
      <c r="F659" s="440" t="s">
        <v>121</v>
      </c>
      <c r="G659" s="440" t="s">
        <v>173</v>
      </c>
    </row>
    <row r="660" spans="2:7" x14ac:dyDescent="0.35">
      <c r="B660" s="118" t="s">
        <v>175</v>
      </c>
      <c r="C660" s="106" t="s">
        <v>7</v>
      </c>
      <c r="D660" s="439">
        <v>56451.12</v>
      </c>
      <c r="E660" s="440" t="s">
        <v>123</v>
      </c>
      <c r="F660" s="440" t="s">
        <v>121</v>
      </c>
      <c r="G660" s="440" t="s">
        <v>173</v>
      </c>
    </row>
    <row r="661" spans="2:7" ht="56.5" x14ac:dyDescent="0.35">
      <c r="B661" s="118" t="s">
        <v>176</v>
      </c>
      <c r="C661" s="106" t="s">
        <v>30</v>
      </c>
      <c r="D661" s="439">
        <v>50551.443338894169</v>
      </c>
      <c r="E661" s="440" t="s">
        <v>123</v>
      </c>
      <c r="F661" s="440" t="s">
        <v>121</v>
      </c>
      <c r="G661" s="440" t="s">
        <v>173</v>
      </c>
    </row>
    <row r="662" spans="2:7" x14ac:dyDescent="0.35">
      <c r="B662" s="118" t="s">
        <v>177</v>
      </c>
      <c r="C662" s="106" t="s">
        <v>7</v>
      </c>
      <c r="D662" s="439">
        <v>57993.8</v>
      </c>
      <c r="E662" s="440" t="s">
        <v>123</v>
      </c>
      <c r="F662" s="440" t="s">
        <v>121</v>
      </c>
      <c r="G662" s="440" t="s">
        <v>173</v>
      </c>
    </row>
    <row r="663" spans="2:7" ht="42" x14ac:dyDescent="0.35">
      <c r="B663" s="107" t="s">
        <v>98</v>
      </c>
      <c r="C663" s="108"/>
      <c r="D663" s="441">
        <v>-5826.6116697263024</v>
      </c>
      <c r="E663" s="440" t="s">
        <v>99</v>
      </c>
      <c r="F663" s="440" t="s">
        <v>121</v>
      </c>
      <c r="G663" s="440" t="s">
        <v>178</v>
      </c>
    </row>
    <row r="664" spans="2:7" x14ac:dyDescent="0.35">
      <c r="B664" s="109" t="s">
        <v>11</v>
      </c>
      <c r="C664" s="104" t="s">
        <v>5</v>
      </c>
      <c r="D664" s="439">
        <v>43</v>
      </c>
      <c r="E664" s="440" t="s">
        <v>99</v>
      </c>
      <c r="F664" s="440" t="s">
        <v>121</v>
      </c>
      <c r="G664" s="440" t="s">
        <v>178</v>
      </c>
    </row>
    <row r="665" spans="2:7" x14ac:dyDescent="0.35">
      <c r="B665" s="110" t="s">
        <v>48</v>
      </c>
      <c r="C665" s="104" t="s">
        <v>5</v>
      </c>
      <c r="D665" s="439">
        <v>13637</v>
      </c>
      <c r="E665" s="440" t="s">
        <v>99</v>
      </c>
      <c r="F665" s="440" t="s">
        <v>121</v>
      </c>
      <c r="G665" s="440" t="s">
        <v>178</v>
      </c>
    </row>
    <row r="666" spans="2:7" x14ac:dyDescent="0.35">
      <c r="B666" s="110" t="s">
        <v>49</v>
      </c>
      <c r="C666" s="104" t="s">
        <v>5</v>
      </c>
      <c r="D666" s="439">
        <v>13410</v>
      </c>
      <c r="E666" s="440" t="s">
        <v>99</v>
      </c>
      <c r="F666" s="440" t="s">
        <v>121</v>
      </c>
      <c r="G666" s="440" t="s">
        <v>178</v>
      </c>
    </row>
    <row r="667" spans="2:7" x14ac:dyDescent="0.35">
      <c r="B667" s="111" t="s">
        <v>44</v>
      </c>
      <c r="C667" s="104" t="s">
        <v>5</v>
      </c>
      <c r="D667" s="439">
        <v>0</v>
      </c>
      <c r="E667" s="440" t="s">
        <v>99</v>
      </c>
      <c r="F667" s="440" t="s">
        <v>121</v>
      </c>
      <c r="G667" s="440" t="s">
        <v>178</v>
      </c>
    </row>
    <row r="668" spans="2:7" x14ac:dyDescent="0.35">
      <c r="B668" s="111" t="s">
        <v>45</v>
      </c>
      <c r="C668" s="104" t="s">
        <v>5</v>
      </c>
      <c r="D668" s="439">
        <v>227</v>
      </c>
      <c r="E668" s="440" t="s">
        <v>99</v>
      </c>
      <c r="F668" s="440" t="s">
        <v>121</v>
      </c>
      <c r="G668" s="440" t="s">
        <v>178</v>
      </c>
    </row>
    <row r="669" spans="2:7" x14ac:dyDescent="0.35">
      <c r="B669" s="110" t="s">
        <v>42</v>
      </c>
      <c r="C669" s="105" t="s">
        <v>7</v>
      </c>
      <c r="D669" s="439">
        <v>197017.65</v>
      </c>
      <c r="E669" s="440" t="s">
        <v>99</v>
      </c>
      <c r="F669" s="440" t="s">
        <v>121</v>
      </c>
      <c r="G669" s="440" t="s">
        <v>178</v>
      </c>
    </row>
    <row r="670" spans="2:7" x14ac:dyDescent="0.35">
      <c r="B670" s="110" t="s">
        <v>50</v>
      </c>
      <c r="C670" s="105" t="s">
        <v>7</v>
      </c>
      <c r="D670" s="439">
        <v>193640.53</v>
      </c>
      <c r="E670" s="440" t="s">
        <v>99</v>
      </c>
      <c r="F670" s="440" t="s">
        <v>121</v>
      </c>
      <c r="G670" s="440" t="s">
        <v>178</v>
      </c>
    </row>
    <row r="671" spans="2:7" x14ac:dyDescent="0.35">
      <c r="B671" s="112" t="s">
        <v>46</v>
      </c>
      <c r="C671" s="105" t="s">
        <v>7</v>
      </c>
      <c r="D671" s="439">
        <v>0</v>
      </c>
      <c r="E671" s="440" t="s">
        <v>99</v>
      </c>
      <c r="F671" s="440" t="s">
        <v>121</v>
      </c>
      <c r="G671" s="440" t="s">
        <v>178</v>
      </c>
    </row>
    <row r="672" spans="2:7" x14ac:dyDescent="0.35">
      <c r="B672" s="112" t="s">
        <v>47</v>
      </c>
      <c r="C672" s="105" t="s">
        <v>7</v>
      </c>
      <c r="D672" s="439">
        <v>3377.12</v>
      </c>
      <c r="E672" s="440" t="s">
        <v>99</v>
      </c>
      <c r="F672" s="440" t="s">
        <v>121</v>
      </c>
      <c r="G672" s="440" t="s">
        <v>178</v>
      </c>
    </row>
    <row r="673" spans="2:7" x14ac:dyDescent="0.35">
      <c r="B673" s="110" t="s">
        <v>43</v>
      </c>
      <c r="C673" s="223" t="s">
        <v>8</v>
      </c>
      <c r="D673" s="439">
        <v>1.7253197013213362</v>
      </c>
      <c r="E673" s="440" t="s">
        <v>99</v>
      </c>
      <c r="F673" s="440" t="s">
        <v>121</v>
      </c>
      <c r="G673" s="440" t="s">
        <v>178</v>
      </c>
    </row>
    <row r="674" spans="2:7" ht="42" x14ac:dyDescent="0.35">
      <c r="B674" s="107" t="s">
        <v>98</v>
      </c>
      <c r="C674" s="108"/>
      <c r="D674" s="441">
        <v>-1120.5747288309296</v>
      </c>
      <c r="E674" s="440" t="s">
        <v>122</v>
      </c>
      <c r="F674" s="440" t="s">
        <v>121</v>
      </c>
      <c r="G674" s="440" t="s">
        <v>178</v>
      </c>
    </row>
    <row r="675" spans="2:7" x14ac:dyDescent="0.35">
      <c r="B675" s="109" t="s">
        <v>11</v>
      </c>
      <c r="C675" s="104" t="s">
        <v>5</v>
      </c>
      <c r="D675" s="439">
        <v>13</v>
      </c>
      <c r="E675" s="440" t="s">
        <v>122</v>
      </c>
      <c r="F675" s="440" t="s">
        <v>121</v>
      </c>
      <c r="G675" s="440" t="s">
        <v>178</v>
      </c>
    </row>
    <row r="676" spans="2:7" x14ac:dyDescent="0.35">
      <c r="B676" s="110" t="s">
        <v>48</v>
      </c>
      <c r="C676" s="104" t="s">
        <v>5</v>
      </c>
      <c r="D676" s="439">
        <v>9106</v>
      </c>
      <c r="E676" s="440" t="s">
        <v>122</v>
      </c>
      <c r="F676" s="440" t="s">
        <v>121</v>
      </c>
      <c r="G676" s="440" t="s">
        <v>178</v>
      </c>
    </row>
    <row r="677" spans="2:7" x14ac:dyDescent="0.35">
      <c r="B677" s="110" t="s">
        <v>49</v>
      </c>
      <c r="C677" s="104" t="s">
        <v>5</v>
      </c>
      <c r="D677" s="439">
        <v>8929</v>
      </c>
      <c r="E677" s="440" t="s">
        <v>122</v>
      </c>
      <c r="F677" s="440" t="s">
        <v>121</v>
      </c>
      <c r="G677" s="440" t="s">
        <v>178</v>
      </c>
    </row>
    <row r="678" spans="2:7" x14ac:dyDescent="0.35">
      <c r="B678" s="111" t="s">
        <v>44</v>
      </c>
      <c r="C678" s="104" t="s">
        <v>5</v>
      </c>
      <c r="D678" s="439">
        <v>0</v>
      </c>
      <c r="E678" s="440" t="s">
        <v>122</v>
      </c>
      <c r="F678" s="440" t="s">
        <v>121</v>
      </c>
      <c r="G678" s="440" t="s">
        <v>178</v>
      </c>
    </row>
    <row r="679" spans="2:7" x14ac:dyDescent="0.35">
      <c r="B679" s="111" t="s">
        <v>45</v>
      </c>
      <c r="C679" s="104" t="s">
        <v>5</v>
      </c>
      <c r="D679" s="439">
        <v>177</v>
      </c>
      <c r="E679" s="440" t="s">
        <v>122</v>
      </c>
      <c r="F679" s="440" t="s">
        <v>121</v>
      </c>
      <c r="G679" s="440" t="s">
        <v>178</v>
      </c>
    </row>
    <row r="680" spans="2:7" x14ac:dyDescent="0.35">
      <c r="B680" s="110" t="s">
        <v>42</v>
      </c>
      <c r="C680" s="105" t="s">
        <v>7</v>
      </c>
      <c r="D680" s="439">
        <v>86831.03</v>
      </c>
      <c r="E680" s="440" t="s">
        <v>122</v>
      </c>
      <c r="F680" s="440" t="s">
        <v>121</v>
      </c>
      <c r="G680" s="440" t="s">
        <v>178</v>
      </c>
    </row>
    <row r="681" spans="2:7" x14ac:dyDescent="0.35">
      <c r="B681" s="110" t="s">
        <v>50</v>
      </c>
      <c r="C681" s="105" t="s">
        <v>7</v>
      </c>
      <c r="D681" s="439">
        <v>85566.62</v>
      </c>
      <c r="E681" s="440" t="s">
        <v>122</v>
      </c>
      <c r="F681" s="440" t="s">
        <v>121</v>
      </c>
      <c r="G681" s="440" t="s">
        <v>178</v>
      </c>
    </row>
    <row r="682" spans="2:7" x14ac:dyDescent="0.35">
      <c r="B682" s="112" t="s">
        <v>46</v>
      </c>
      <c r="C682" s="105" t="s">
        <v>7</v>
      </c>
      <c r="D682" s="439">
        <v>0</v>
      </c>
      <c r="E682" s="440" t="s">
        <v>122</v>
      </c>
      <c r="F682" s="440" t="s">
        <v>121</v>
      </c>
      <c r="G682" s="440" t="s">
        <v>178</v>
      </c>
    </row>
    <row r="683" spans="2:7" x14ac:dyDescent="0.35">
      <c r="B683" s="112" t="s">
        <v>47</v>
      </c>
      <c r="C683" s="105" t="s">
        <v>7</v>
      </c>
      <c r="D683" s="439">
        <v>1264.4100000000001</v>
      </c>
      <c r="E683" s="440" t="s">
        <v>122</v>
      </c>
      <c r="F683" s="440" t="s">
        <v>121</v>
      </c>
      <c r="G683" s="440" t="s">
        <v>178</v>
      </c>
    </row>
    <row r="684" spans="2:7" x14ac:dyDescent="0.35">
      <c r="B684" s="110" t="s">
        <v>43</v>
      </c>
      <c r="C684" s="223" t="s">
        <v>8</v>
      </c>
      <c r="D684" s="439">
        <v>0.8862431717804562</v>
      </c>
      <c r="E684" s="440" t="s">
        <v>122</v>
      </c>
      <c r="F684" s="440" t="s">
        <v>121</v>
      </c>
      <c r="G684" s="440" t="s">
        <v>178</v>
      </c>
    </row>
    <row r="685" spans="2:7" ht="42" x14ac:dyDescent="0.35">
      <c r="B685" s="107" t="s">
        <v>98</v>
      </c>
      <c r="C685" s="108"/>
      <c r="D685" s="441">
        <v>-5405.919003581751</v>
      </c>
      <c r="E685" s="440" t="s">
        <v>123</v>
      </c>
      <c r="F685" s="440" t="s">
        <v>121</v>
      </c>
      <c r="G685" s="440" t="s">
        <v>178</v>
      </c>
    </row>
    <row r="686" spans="2:7" x14ac:dyDescent="0.35">
      <c r="B686" s="109" t="s">
        <v>11</v>
      </c>
      <c r="C686" s="104" t="s">
        <v>5</v>
      </c>
      <c r="D686" s="439">
        <v>20</v>
      </c>
      <c r="E686" s="440" t="s">
        <v>123</v>
      </c>
      <c r="F686" s="440" t="s">
        <v>121</v>
      </c>
      <c r="G686" s="440" t="s">
        <v>178</v>
      </c>
    </row>
    <row r="687" spans="2:7" x14ac:dyDescent="0.35">
      <c r="B687" s="110" t="s">
        <v>48</v>
      </c>
      <c r="C687" s="104" t="s">
        <v>5</v>
      </c>
      <c r="D687" s="439">
        <v>8116</v>
      </c>
      <c r="E687" s="440" t="s">
        <v>123</v>
      </c>
      <c r="F687" s="440" t="s">
        <v>121</v>
      </c>
      <c r="G687" s="440" t="s">
        <v>178</v>
      </c>
    </row>
    <row r="688" spans="2:7" x14ac:dyDescent="0.35">
      <c r="B688" s="110" t="s">
        <v>49</v>
      </c>
      <c r="C688" s="104" t="s">
        <v>5</v>
      </c>
      <c r="D688" s="439">
        <v>7874</v>
      </c>
      <c r="E688" s="440" t="s">
        <v>123</v>
      </c>
      <c r="F688" s="440" t="s">
        <v>121</v>
      </c>
      <c r="G688" s="440" t="s">
        <v>178</v>
      </c>
    </row>
    <row r="689" spans="2:7" x14ac:dyDescent="0.35">
      <c r="B689" s="111" t="s">
        <v>44</v>
      </c>
      <c r="C689" s="104" t="s">
        <v>5</v>
      </c>
      <c r="D689" s="439">
        <v>0</v>
      </c>
      <c r="E689" s="440" t="s">
        <v>123</v>
      </c>
      <c r="F689" s="440" t="s">
        <v>121</v>
      </c>
      <c r="G689" s="440" t="s">
        <v>178</v>
      </c>
    </row>
    <row r="690" spans="2:7" x14ac:dyDescent="0.35">
      <c r="B690" s="111" t="s">
        <v>45</v>
      </c>
      <c r="C690" s="104" t="s">
        <v>5</v>
      </c>
      <c r="D690" s="439">
        <v>242</v>
      </c>
      <c r="E690" s="440" t="s">
        <v>123</v>
      </c>
      <c r="F690" s="440" t="s">
        <v>121</v>
      </c>
      <c r="G690" s="440" t="s">
        <v>178</v>
      </c>
    </row>
    <row r="691" spans="2:7" x14ac:dyDescent="0.35">
      <c r="B691" s="110" t="s">
        <v>42</v>
      </c>
      <c r="C691" s="105" t="s">
        <v>7</v>
      </c>
      <c r="D691" s="439">
        <v>57790.919000000002</v>
      </c>
      <c r="E691" s="440" t="s">
        <v>123</v>
      </c>
      <c r="F691" s="440" t="s">
        <v>121</v>
      </c>
      <c r="G691" s="440" t="s">
        <v>178</v>
      </c>
    </row>
    <row r="692" spans="2:7" x14ac:dyDescent="0.35">
      <c r="B692" s="110" t="s">
        <v>50</v>
      </c>
      <c r="C692" s="105" t="s">
        <v>7</v>
      </c>
      <c r="D692" s="439">
        <v>56054.199000000001</v>
      </c>
      <c r="E692" s="440" t="s">
        <v>123</v>
      </c>
      <c r="F692" s="440" t="s">
        <v>121</v>
      </c>
      <c r="G692" s="440" t="s">
        <v>178</v>
      </c>
    </row>
    <row r="693" spans="2:7" x14ac:dyDescent="0.35">
      <c r="B693" s="112" t="s">
        <v>46</v>
      </c>
      <c r="C693" s="105" t="s">
        <v>7</v>
      </c>
      <c r="D693" s="439">
        <v>0</v>
      </c>
      <c r="E693" s="440" t="s">
        <v>123</v>
      </c>
      <c r="F693" s="440" t="s">
        <v>121</v>
      </c>
      <c r="G693" s="440" t="s">
        <v>178</v>
      </c>
    </row>
    <row r="694" spans="2:7" x14ac:dyDescent="0.35">
      <c r="B694" s="112" t="s">
        <v>47</v>
      </c>
      <c r="C694" s="105" t="s">
        <v>7</v>
      </c>
      <c r="D694" s="439">
        <v>1736.72</v>
      </c>
      <c r="E694" s="440" t="s">
        <v>123</v>
      </c>
      <c r="F694" s="440" t="s">
        <v>121</v>
      </c>
      <c r="G694" s="440" t="s">
        <v>178</v>
      </c>
    </row>
    <row r="695" spans="2:7" x14ac:dyDescent="0.35">
      <c r="B695" s="110" t="s">
        <v>43</v>
      </c>
      <c r="C695" s="223" t="s">
        <v>8</v>
      </c>
      <c r="D695" s="439">
        <v>3.1127176537275711</v>
      </c>
      <c r="E695" s="440" t="s">
        <v>123</v>
      </c>
      <c r="F695" s="440" t="s">
        <v>121</v>
      </c>
      <c r="G695" s="440" t="s">
        <v>178</v>
      </c>
    </row>
    <row r="696" spans="2:7" ht="56.5" x14ac:dyDescent="0.35">
      <c r="B696" s="113" t="s">
        <v>100</v>
      </c>
      <c r="C696" s="114"/>
      <c r="D696" s="441">
        <v>190.82645999999997</v>
      </c>
      <c r="E696" s="440" t="s">
        <v>99</v>
      </c>
      <c r="F696" s="440" t="s">
        <v>121</v>
      </c>
      <c r="G696" s="440" t="s">
        <v>178</v>
      </c>
    </row>
    <row r="697" spans="2:7" ht="28.5" x14ac:dyDescent="0.35">
      <c r="B697" s="446" t="s">
        <v>39</v>
      </c>
      <c r="C697" s="369"/>
      <c r="D697" s="439"/>
      <c r="E697" s="440" t="s">
        <v>99</v>
      </c>
      <c r="F697" s="440" t="s">
        <v>121</v>
      </c>
      <c r="G697" s="440" t="s">
        <v>178</v>
      </c>
    </row>
    <row r="698" spans="2:7" x14ac:dyDescent="0.35">
      <c r="B698" s="447" t="s">
        <v>61</v>
      </c>
      <c r="C698" s="369" t="s">
        <v>25</v>
      </c>
      <c r="D698" s="439"/>
      <c r="E698" s="440" t="s">
        <v>99</v>
      </c>
      <c r="F698" s="440" t="s">
        <v>121</v>
      </c>
      <c r="G698" s="440" t="s">
        <v>178</v>
      </c>
    </row>
    <row r="699" spans="2:7" x14ac:dyDescent="0.35">
      <c r="B699" s="447" t="s">
        <v>149</v>
      </c>
      <c r="C699" s="369" t="s">
        <v>25</v>
      </c>
      <c r="D699" s="439">
        <v>0.5</v>
      </c>
      <c r="E699" s="440" t="s">
        <v>99</v>
      </c>
      <c r="F699" s="440" t="s">
        <v>121</v>
      </c>
      <c r="G699" s="440" t="s">
        <v>178</v>
      </c>
    </row>
    <row r="700" spans="2:7" x14ac:dyDescent="0.35">
      <c r="B700" s="447" t="s">
        <v>72</v>
      </c>
      <c r="C700" s="369" t="s">
        <v>59</v>
      </c>
      <c r="D700" s="439">
        <v>1.04</v>
      </c>
      <c r="E700" s="440" t="s">
        <v>99</v>
      </c>
      <c r="F700" s="440" t="s">
        <v>121</v>
      </c>
      <c r="G700" s="440" t="s">
        <v>178</v>
      </c>
    </row>
    <row r="701" spans="2:7" x14ac:dyDescent="0.35">
      <c r="B701" s="447" t="s">
        <v>12</v>
      </c>
      <c r="C701" s="369" t="s">
        <v>59</v>
      </c>
      <c r="D701" s="439"/>
      <c r="E701" s="440" t="s">
        <v>99</v>
      </c>
      <c r="F701" s="440" t="s">
        <v>121</v>
      </c>
      <c r="G701" s="440" t="s">
        <v>178</v>
      </c>
    </row>
    <row r="702" spans="2:7" x14ac:dyDescent="0.35">
      <c r="B702" s="447" t="s">
        <v>150</v>
      </c>
      <c r="C702" s="369" t="s">
        <v>59</v>
      </c>
      <c r="D702" s="439">
        <v>614</v>
      </c>
      <c r="E702" s="440" t="s">
        <v>99</v>
      </c>
      <c r="F702" s="440" t="s">
        <v>121</v>
      </c>
      <c r="G702" s="440" t="s">
        <v>178</v>
      </c>
    </row>
    <row r="703" spans="2:7" x14ac:dyDescent="0.35">
      <c r="B703" s="447" t="s">
        <v>151</v>
      </c>
      <c r="C703" s="369" t="s">
        <v>59</v>
      </c>
      <c r="D703" s="439">
        <v>161</v>
      </c>
      <c r="E703" s="440" t="s">
        <v>99</v>
      </c>
      <c r="F703" s="440" t="s">
        <v>121</v>
      </c>
      <c r="G703" s="440" t="s">
        <v>178</v>
      </c>
    </row>
    <row r="704" spans="2:7" x14ac:dyDescent="0.35">
      <c r="B704" s="448" t="s">
        <v>75</v>
      </c>
      <c r="C704" s="369"/>
      <c r="D704" s="439"/>
      <c r="E704" s="440" t="s">
        <v>99</v>
      </c>
      <c r="F704" s="440" t="s">
        <v>121</v>
      </c>
      <c r="G704" s="440" t="s">
        <v>178</v>
      </c>
    </row>
    <row r="705" spans="2:7" x14ac:dyDescent="0.35">
      <c r="B705" s="449" t="s">
        <v>152</v>
      </c>
      <c r="C705" s="369" t="s">
        <v>59</v>
      </c>
      <c r="D705" s="439"/>
      <c r="E705" s="440" t="s">
        <v>99</v>
      </c>
      <c r="F705" s="440" t="s">
        <v>121</v>
      </c>
      <c r="G705" s="440" t="s">
        <v>178</v>
      </c>
    </row>
    <row r="706" spans="2:7" x14ac:dyDescent="0.35">
      <c r="B706" s="447" t="s">
        <v>153</v>
      </c>
      <c r="C706" s="369" t="s">
        <v>59</v>
      </c>
      <c r="D706" s="439"/>
      <c r="E706" s="440" t="s">
        <v>99</v>
      </c>
      <c r="F706" s="440" t="s">
        <v>121</v>
      </c>
      <c r="G706" s="440" t="s">
        <v>178</v>
      </c>
    </row>
    <row r="707" spans="2:7" ht="28.5" x14ac:dyDescent="0.35">
      <c r="B707" s="446" t="s">
        <v>40</v>
      </c>
      <c r="C707" s="369" t="s">
        <v>26</v>
      </c>
      <c r="D707" s="439"/>
      <c r="E707" s="440" t="s">
        <v>99</v>
      </c>
      <c r="F707" s="440" t="s">
        <v>121</v>
      </c>
      <c r="G707" s="440" t="s">
        <v>178</v>
      </c>
    </row>
    <row r="708" spans="2:7" x14ac:dyDescent="0.35">
      <c r="B708" s="447" t="s">
        <v>57</v>
      </c>
      <c r="C708" s="369" t="s">
        <v>26</v>
      </c>
      <c r="D708" s="439"/>
      <c r="E708" s="440" t="s">
        <v>99</v>
      </c>
      <c r="F708" s="440" t="s">
        <v>121</v>
      </c>
      <c r="G708" s="440" t="s">
        <v>178</v>
      </c>
    </row>
    <row r="709" spans="2:7" x14ac:dyDescent="0.35">
      <c r="B709" s="447" t="s">
        <v>149</v>
      </c>
      <c r="C709" s="369" t="s">
        <v>26</v>
      </c>
      <c r="D709" s="439">
        <v>4.4649999999999999</v>
      </c>
      <c r="E709" s="440" t="s">
        <v>99</v>
      </c>
      <c r="F709" s="440" t="s">
        <v>121</v>
      </c>
      <c r="G709" s="440" t="s">
        <v>178</v>
      </c>
    </row>
    <row r="710" spans="2:7" x14ac:dyDescent="0.35">
      <c r="B710" s="447" t="s">
        <v>72</v>
      </c>
      <c r="C710" s="369" t="s">
        <v>26</v>
      </c>
      <c r="D710" s="439">
        <v>4.5</v>
      </c>
      <c r="E710" s="440" t="s">
        <v>99</v>
      </c>
      <c r="F710" s="440" t="s">
        <v>121</v>
      </c>
      <c r="G710" s="440" t="s">
        <v>178</v>
      </c>
    </row>
    <row r="711" spans="2:7" x14ac:dyDescent="0.35">
      <c r="B711" s="447" t="s">
        <v>12</v>
      </c>
      <c r="C711" s="369" t="s">
        <v>26</v>
      </c>
      <c r="D711" s="439"/>
      <c r="E711" s="440" t="s">
        <v>99</v>
      </c>
      <c r="F711" s="440" t="s">
        <v>121</v>
      </c>
      <c r="G711" s="440" t="s">
        <v>178</v>
      </c>
    </row>
    <row r="712" spans="2:7" x14ac:dyDescent="0.35">
      <c r="B712" s="447" t="s">
        <v>150</v>
      </c>
      <c r="C712" s="369" t="s">
        <v>26</v>
      </c>
      <c r="D712" s="439">
        <v>0.28999999999999998</v>
      </c>
      <c r="E712" s="440" t="s">
        <v>99</v>
      </c>
      <c r="F712" s="440" t="s">
        <v>121</v>
      </c>
      <c r="G712" s="440" t="s">
        <v>178</v>
      </c>
    </row>
    <row r="713" spans="2:7" x14ac:dyDescent="0.35">
      <c r="B713" s="447" t="s">
        <v>151</v>
      </c>
      <c r="C713" s="369" t="s">
        <v>26</v>
      </c>
      <c r="D713" s="439">
        <v>3.6360000000000003E-2</v>
      </c>
      <c r="E713" s="440" t="s">
        <v>99</v>
      </c>
      <c r="F713" s="440" t="s">
        <v>121</v>
      </c>
      <c r="G713" s="440" t="s">
        <v>178</v>
      </c>
    </row>
    <row r="714" spans="2:7" x14ac:dyDescent="0.35">
      <c r="B714" s="448" t="s">
        <v>75</v>
      </c>
      <c r="C714" s="369" t="s">
        <v>26</v>
      </c>
      <c r="D714" s="439"/>
      <c r="E714" s="440" t="s">
        <v>99</v>
      </c>
      <c r="F714" s="440" t="s">
        <v>121</v>
      </c>
      <c r="G714" s="440" t="s">
        <v>178</v>
      </c>
    </row>
    <row r="715" spans="2:7" x14ac:dyDescent="0.35">
      <c r="B715" s="449" t="s">
        <v>152</v>
      </c>
      <c r="C715" s="369" t="s">
        <v>26</v>
      </c>
      <c r="D715" s="439"/>
      <c r="E715" s="440" t="s">
        <v>99</v>
      </c>
      <c r="F715" s="440" t="s">
        <v>121</v>
      </c>
      <c r="G715" s="440" t="s">
        <v>178</v>
      </c>
    </row>
    <row r="716" spans="2:7" x14ac:dyDescent="0.35">
      <c r="B716" s="447" t="s">
        <v>153</v>
      </c>
      <c r="C716" s="369" t="s">
        <v>26</v>
      </c>
      <c r="D716" s="439"/>
      <c r="E716" s="440" t="s">
        <v>99</v>
      </c>
      <c r="F716" s="440" t="s">
        <v>121</v>
      </c>
      <c r="G716" s="440" t="s">
        <v>178</v>
      </c>
    </row>
    <row r="717" spans="2:7" ht="56.5" x14ac:dyDescent="0.35">
      <c r="B717" s="113" t="s">
        <v>100</v>
      </c>
      <c r="C717" s="114"/>
      <c r="D717" s="441">
        <v>81.286945000000003</v>
      </c>
      <c r="E717" s="440" t="s">
        <v>122</v>
      </c>
      <c r="F717" s="440" t="s">
        <v>121</v>
      </c>
      <c r="G717" s="440" t="s">
        <v>178</v>
      </c>
    </row>
    <row r="718" spans="2:7" ht="28.5" x14ac:dyDescent="0.35">
      <c r="B718" s="446" t="s">
        <v>39</v>
      </c>
      <c r="C718" s="369"/>
      <c r="D718" s="439"/>
      <c r="E718" s="440" t="s">
        <v>122</v>
      </c>
      <c r="F718" s="440" t="s">
        <v>121</v>
      </c>
      <c r="G718" s="440" t="s">
        <v>178</v>
      </c>
    </row>
    <row r="719" spans="2:7" x14ac:dyDescent="0.35">
      <c r="B719" s="447" t="s">
        <v>61</v>
      </c>
      <c r="C719" s="369" t="s">
        <v>25</v>
      </c>
      <c r="D719" s="439"/>
      <c r="E719" s="440" t="s">
        <v>122</v>
      </c>
      <c r="F719" s="440" t="s">
        <v>121</v>
      </c>
      <c r="G719" s="440" t="s">
        <v>178</v>
      </c>
    </row>
    <row r="720" spans="2:7" x14ac:dyDescent="0.35">
      <c r="B720" s="447" t="s">
        <v>149</v>
      </c>
      <c r="C720" s="369" t="s">
        <v>25</v>
      </c>
      <c r="D720" s="439">
        <v>0.20899999999999999</v>
      </c>
      <c r="E720" s="440" t="s">
        <v>122</v>
      </c>
      <c r="F720" s="440" t="s">
        <v>121</v>
      </c>
      <c r="G720" s="440" t="s">
        <v>178</v>
      </c>
    </row>
    <row r="721" spans="2:7" x14ac:dyDescent="0.35">
      <c r="B721" s="447" t="s">
        <v>72</v>
      </c>
      <c r="C721" s="369" t="s">
        <v>59</v>
      </c>
      <c r="D721" s="439">
        <v>0.43</v>
      </c>
      <c r="E721" s="440" t="s">
        <v>122</v>
      </c>
      <c r="F721" s="440" t="s">
        <v>121</v>
      </c>
      <c r="G721" s="440" t="s">
        <v>178</v>
      </c>
    </row>
    <row r="722" spans="2:7" x14ac:dyDescent="0.35">
      <c r="B722" s="447" t="s">
        <v>12</v>
      </c>
      <c r="C722" s="369" t="s">
        <v>59</v>
      </c>
      <c r="D722" s="439"/>
      <c r="E722" s="440" t="s">
        <v>122</v>
      </c>
      <c r="F722" s="440" t="s">
        <v>121</v>
      </c>
      <c r="G722" s="440" t="s">
        <v>178</v>
      </c>
    </row>
    <row r="723" spans="2:7" x14ac:dyDescent="0.35">
      <c r="B723" s="447" t="s">
        <v>150</v>
      </c>
      <c r="C723" s="369" t="s">
        <v>59</v>
      </c>
      <c r="D723" s="439">
        <v>259</v>
      </c>
      <c r="E723" s="440" t="s">
        <v>122</v>
      </c>
      <c r="F723" s="440" t="s">
        <v>121</v>
      </c>
      <c r="G723" s="440" t="s">
        <v>178</v>
      </c>
    </row>
    <row r="724" spans="2:7" x14ac:dyDescent="0.35">
      <c r="B724" s="447" t="s">
        <v>151</v>
      </c>
      <c r="C724" s="369" t="s">
        <v>59</v>
      </c>
      <c r="D724" s="439">
        <v>91</v>
      </c>
      <c r="E724" s="440" t="s">
        <v>122</v>
      </c>
      <c r="F724" s="440" t="s">
        <v>121</v>
      </c>
      <c r="G724" s="440" t="s">
        <v>178</v>
      </c>
    </row>
    <row r="725" spans="2:7" x14ac:dyDescent="0.35">
      <c r="B725" s="448" t="s">
        <v>75</v>
      </c>
      <c r="C725" s="369"/>
      <c r="D725" s="439"/>
      <c r="E725" s="440" t="s">
        <v>122</v>
      </c>
      <c r="F725" s="440" t="s">
        <v>121</v>
      </c>
      <c r="G725" s="440" t="s">
        <v>178</v>
      </c>
    </row>
    <row r="726" spans="2:7" x14ac:dyDescent="0.35">
      <c r="B726" s="449" t="s">
        <v>152</v>
      </c>
      <c r="C726" s="369" t="s">
        <v>59</v>
      </c>
      <c r="D726" s="439"/>
      <c r="E726" s="440" t="s">
        <v>122</v>
      </c>
      <c r="F726" s="440" t="s">
        <v>121</v>
      </c>
      <c r="G726" s="440" t="s">
        <v>178</v>
      </c>
    </row>
    <row r="727" spans="2:7" x14ac:dyDescent="0.35">
      <c r="B727" s="447" t="s">
        <v>153</v>
      </c>
      <c r="C727" s="369" t="s">
        <v>59</v>
      </c>
      <c r="D727" s="439"/>
      <c r="E727" s="440" t="s">
        <v>122</v>
      </c>
      <c r="F727" s="440" t="s">
        <v>121</v>
      </c>
      <c r="G727" s="440" t="s">
        <v>178</v>
      </c>
    </row>
    <row r="728" spans="2:7" ht="28.5" x14ac:dyDescent="0.35">
      <c r="B728" s="446" t="s">
        <v>40</v>
      </c>
      <c r="C728" s="369" t="s">
        <v>26</v>
      </c>
      <c r="D728" s="439"/>
      <c r="E728" s="440" t="s">
        <v>122</v>
      </c>
      <c r="F728" s="440" t="s">
        <v>121</v>
      </c>
      <c r="G728" s="440" t="s">
        <v>178</v>
      </c>
    </row>
    <row r="729" spans="2:7" x14ac:dyDescent="0.35">
      <c r="B729" s="447" t="s">
        <v>57</v>
      </c>
      <c r="C729" s="369" t="s">
        <v>26</v>
      </c>
      <c r="D729" s="439"/>
      <c r="E729" s="440" t="s">
        <v>122</v>
      </c>
      <c r="F729" s="440" t="s">
        <v>121</v>
      </c>
      <c r="G729" s="440" t="s">
        <v>178</v>
      </c>
    </row>
    <row r="730" spans="2:7" x14ac:dyDescent="0.35">
      <c r="B730" s="447" t="s">
        <v>149</v>
      </c>
      <c r="C730" s="369" t="s">
        <v>26</v>
      </c>
      <c r="D730" s="439">
        <v>4.4649999999999999</v>
      </c>
      <c r="E730" s="440" t="s">
        <v>122</v>
      </c>
      <c r="F730" s="440" t="s">
        <v>121</v>
      </c>
      <c r="G730" s="440" t="s">
        <v>178</v>
      </c>
    </row>
    <row r="731" spans="2:7" x14ac:dyDescent="0.35">
      <c r="B731" s="447" t="s">
        <v>72</v>
      </c>
      <c r="C731" s="369" t="s">
        <v>26</v>
      </c>
      <c r="D731" s="439">
        <v>4.5</v>
      </c>
      <c r="E731" s="440" t="s">
        <v>122</v>
      </c>
      <c r="F731" s="440" t="s">
        <v>121</v>
      </c>
      <c r="G731" s="440" t="s">
        <v>178</v>
      </c>
    </row>
    <row r="732" spans="2:7" x14ac:dyDescent="0.35">
      <c r="B732" s="447" t="s">
        <v>12</v>
      </c>
      <c r="C732" s="369" t="s">
        <v>26</v>
      </c>
      <c r="D732" s="439"/>
      <c r="E732" s="440" t="s">
        <v>122</v>
      </c>
      <c r="F732" s="440" t="s">
        <v>121</v>
      </c>
      <c r="G732" s="440" t="s">
        <v>178</v>
      </c>
    </row>
    <row r="733" spans="2:7" x14ac:dyDescent="0.35">
      <c r="B733" s="447" t="s">
        <v>150</v>
      </c>
      <c r="C733" s="369" t="s">
        <v>26</v>
      </c>
      <c r="D733" s="439">
        <v>0.28999999999999998</v>
      </c>
      <c r="E733" s="440" t="s">
        <v>122</v>
      </c>
      <c r="F733" s="440" t="s">
        <v>121</v>
      </c>
      <c r="G733" s="440" t="s">
        <v>178</v>
      </c>
    </row>
    <row r="734" spans="2:7" x14ac:dyDescent="0.35">
      <c r="B734" s="447" t="s">
        <v>151</v>
      </c>
      <c r="C734" s="369" t="s">
        <v>26</v>
      </c>
      <c r="D734" s="439">
        <v>3.6360000000000003E-2</v>
      </c>
      <c r="E734" s="440" t="s">
        <v>122</v>
      </c>
      <c r="F734" s="440" t="s">
        <v>121</v>
      </c>
      <c r="G734" s="440" t="s">
        <v>178</v>
      </c>
    </row>
    <row r="735" spans="2:7" x14ac:dyDescent="0.35">
      <c r="B735" s="448" t="s">
        <v>75</v>
      </c>
      <c r="C735" s="369" t="s">
        <v>26</v>
      </c>
      <c r="D735" s="439"/>
      <c r="E735" s="440" t="s">
        <v>122</v>
      </c>
      <c r="F735" s="440" t="s">
        <v>121</v>
      </c>
      <c r="G735" s="440" t="s">
        <v>178</v>
      </c>
    </row>
    <row r="736" spans="2:7" x14ac:dyDescent="0.35">
      <c r="B736" s="449" t="s">
        <v>152</v>
      </c>
      <c r="C736" s="369" t="s">
        <v>26</v>
      </c>
      <c r="D736" s="439"/>
      <c r="E736" s="440" t="s">
        <v>122</v>
      </c>
      <c r="F736" s="440" t="s">
        <v>121</v>
      </c>
      <c r="G736" s="440" t="s">
        <v>178</v>
      </c>
    </row>
    <row r="737" spans="2:7" x14ac:dyDescent="0.35">
      <c r="B737" s="447" t="s">
        <v>153</v>
      </c>
      <c r="C737" s="369" t="s">
        <v>26</v>
      </c>
      <c r="D737" s="439"/>
      <c r="E737" s="440" t="s">
        <v>122</v>
      </c>
      <c r="F737" s="440" t="s">
        <v>121</v>
      </c>
      <c r="G737" s="440" t="s">
        <v>178</v>
      </c>
    </row>
    <row r="738" spans="2:7" ht="56.5" x14ac:dyDescent="0.35">
      <c r="B738" s="113" t="s">
        <v>100</v>
      </c>
      <c r="C738" s="114"/>
      <c r="D738" s="441">
        <v>100.00980000000001</v>
      </c>
      <c r="E738" s="440" t="s">
        <v>123</v>
      </c>
      <c r="F738" s="440" t="s">
        <v>121</v>
      </c>
      <c r="G738" s="440" t="s">
        <v>178</v>
      </c>
    </row>
    <row r="739" spans="2:7" ht="28.5" x14ac:dyDescent="0.35">
      <c r="B739" s="446" t="s">
        <v>39</v>
      </c>
      <c r="C739" s="369"/>
      <c r="D739" s="439"/>
      <c r="E739" s="440" t="s">
        <v>123</v>
      </c>
      <c r="F739" s="440" t="s">
        <v>121</v>
      </c>
      <c r="G739" s="440" t="s">
        <v>178</v>
      </c>
    </row>
    <row r="740" spans="2:7" x14ac:dyDescent="0.35">
      <c r="B740" s="447" t="s">
        <v>61</v>
      </c>
      <c r="C740" s="369" t="s">
        <v>25</v>
      </c>
      <c r="D740" s="439">
        <v>10</v>
      </c>
      <c r="E740" s="440" t="s">
        <v>123</v>
      </c>
      <c r="F740" s="440" t="s">
        <v>121</v>
      </c>
      <c r="G740" s="440" t="s">
        <v>178</v>
      </c>
    </row>
    <row r="741" spans="2:7" x14ac:dyDescent="0.35">
      <c r="B741" s="447" t="s">
        <v>149</v>
      </c>
      <c r="C741" s="369" t="s">
        <v>25</v>
      </c>
      <c r="D741" s="439"/>
      <c r="E741" s="440" t="s">
        <v>123</v>
      </c>
      <c r="F741" s="440" t="s">
        <v>121</v>
      </c>
      <c r="G741" s="440" t="s">
        <v>178</v>
      </c>
    </row>
    <row r="742" spans="2:7" x14ac:dyDescent="0.35">
      <c r="B742" s="447" t="s">
        <v>72</v>
      </c>
      <c r="C742" s="369" t="s">
        <v>59</v>
      </c>
      <c r="D742" s="439"/>
      <c r="E742" s="440" t="s">
        <v>123</v>
      </c>
      <c r="F742" s="440" t="s">
        <v>121</v>
      </c>
      <c r="G742" s="440" t="s">
        <v>178</v>
      </c>
    </row>
    <row r="743" spans="2:7" x14ac:dyDescent="0.35">
      <c r="B743" s="447" t="s">
        <v>12</v>
      </c>
      <c r="C743" s="369" t="s">
        <v>59</v>
      </c>
      <c r="D743" s="439">
        <v>50</v>
      </c>
      <c r="E743" s="440" t="s">
        <v>123</v>
      </c>
      <c r="F743" s="440" t="s">
        <v>121</v>
      </c>
      <c r="G743" s="440" t="s">
        <v>178</v>
      </c>
    </row>
    <row r="744" spans="2:7" x14ac:dyDescent="0.35">
      <c r="B744" s="447" t="s">
        <v>150</v>
      </c>
      <c r="C744" s="369" t="s">
        <v>59</v>
      </c>
      <c r="D744" s="439"/>
      <c r="E744" s="440" t="s">
        <v>123</v>
      </c>
      <c r="F744" s="440" t="s">
        <v>121</v>
      </c>
      <c r="G744" s="440" t="s">
        <v>178</v>
      </c>
    </row>
    <row r="745" spans="2:7" x14ac:dyDescent="0.35">
      <c r="B745" s="447" t="s">
        <v>151</v>
      </c>
      <c r="C745" s="369" t="s">
        <v>59</v>
      </c>
      <c r="D745" s="439"/>
      <c r="E745" s="440" t="s">
        <v>123</v>
      </c>
      <c r="F745" s="440" t="s">
        <v>121</v>
      </c>
      <c r="G745" s="440" t="s">
        <v>178</v>
      </c>
    </row>
    <row r="746" spans="2:7" x14ac:dyDescent="0.35">
      <c r="B746" s="448" t="s">
        <v>75</v>
      </c>
      <c r="C746" s="369"/>
      <c r="D746" s="439"/>
      <c r="E746" s="440" t="s">
        <v>123</v>
      </c>
      <c r="F746" s="440" t="s">
        <v>121</v>
      </c>
      <c r="G746" s="440" t="s">
        <v>178</v>
      </c>
    </row>
    <row r="747" spans="2:7" x14ac:dyDescent="0.35">
      <c r="B747" s="449" t="s">
        <v>152</v>
      </c>
      <c r="C747" s="369" t="s">
        <v>59</v>
      </c>
      <c r="D747" s="439">
        <v>10</v>
      </c>
      <c r="E747" s="440" t="s">
        <v>123</v>
      </c>
      <c r="F747" s="440" t="s">
        <v>121</v>
      </c>
      <c r="G747" s="440" t="s">
        <v>178</v>
      </c>
    </row>
    <row r="748" spans="2:7" x14ac:dyDescent="0.35">
      <c r="B748" s="447" t="s">
        <v>153</v>
      </c>
      <c r="C748" s="369" t="s">
        <v>59</v>
      </c>
      <c r="D748" s="439">
        <v>3</v>
      </c>
      <c r="E748" s="440" t="s">
        <v>123</v>
      </c>
      <c r="F748" s="440" t="s">
        <v>121</v>
      </c>
      <c r="G748" s="440" t="s">
        <v>178</v>
      </c>
    </row>
    <row r="749" spans="2:7" ht="28.5" x14ac:dyDescent="0.35">
      <c r="B749" s="446" t="s">
        <v>40</v>
      </c>
      <c r="C749" s="369" t="s">
        <v>26</v>
      </c>
      <c r="D749" s="439"/>
      <c r="E749" s="440" t="s">
        <v>123</v>
      </c>
      <c r="F749" s="440" t="s">
        <v>121</v>
      </c>
      <c r="G749" s="440" t="s">
        <v>178</v>
      </c>
    </row>
    <row r="750" spans="2:7" x14ac:dyDescent="0.35">
      <c r="B750" s="447" t="s">
        <v>57</v>
      </c>
      <c r="C750" s="369" t="s">
        <v>26</v>
      </c>
      <c r="D750" s="439">
        <v>2.472</v>
      </c>
      <c r="E750" s="440" t="s">
        <v>123</v>
      </c>
      <c r="F750" s="440" t="s">
        <v>121</v>
      </c>
      <c r="G750" s="440" t="s">
        <v>178</v>
      </c>
    </row>
    <row r="751" spans="2:7" x14ac:dyDescent="0.35">
      <c r="B751" s="447" t="s">
        <v>149</v>
      </c>
      <c r="C751" s="369" t="s">
        <v>26</v>
      </c>
      <c r="D751" s="439"/>
      <c r="E751" s="440" t="s">
        <v>123</v>
      </c>
      <c r="F751" s="440" t="s">
        <v>121</v>
      </c>
      <c r="G751" s="440" t="s">
        <v>178</v>
      </c>
    </row>
    <row r="752" spans="2:7" x14ac:dyDescent="0.35">
      <c r="B752" s="447" t="s">
        <v>72</v>
      </c>
      <c r="C752" s="369" t="s">
        <v>26</v>
      </c>
      <c r="D752" s="439"/>
      <c r="E752" s="440" t="s">
        <v>123</v>
      </c>
      <c r="F752" s="440" t="s">
        <v>121</v>
      </c>
      <c r="G752" s="440" t="s">
        <v>178</v>
      </c>
    </row>
    <row r="753" spans="2:7" x14ac:dyDescent="0.35">
      <c r="B753" s="447" t="s">
        <v>12</v>
      </c>
      <c r="C753" s="369" t="s">
        <v>26</v>
      </c>
      <c r="D753" s="439">
        <v>0.35680000000000001</v>
      </c>
      <c r="E753" s="440" t="s">
        <v>123</v>
      </c>
      <c r="F753" s="440" t="s">
        <v>121</v>
      </c>
      <c r="G753" s="440" t="s">
        <v>178</v>
      </c>
    </row>
    <row r="754" spans="2:7" x14ac:dyDescent="0.35">
      <c r="B754" s="447" t="s">
        <v>150</v>
      </c>
      <c r="C754" s="369" t="s">
        <v>26</v>
      </c>
      <c r="D754" s="439"/>
      <c r="E754" s="440" t="s">
        <v>123</v>
      </c>
      <c r="F754" s="440" t="s">
        <v>121</v>
      </c>
      <c r="G754" s="440" t="s">
        <v>178</v>
      </c>
    </row>
    <row r="755" spans="2:7" x14ac:dyDescent="0.35">
      <c r="B755" s="447" t="s">
        <v>151</v>
      </c>
      <c r="C755" s="369" t="s">
        <v>26</v>
      </c>
      <c r="D755" s="439"/>
      <c r="E755" s="440" t="s">
        <v>123</v>
      </c>
      <c r="F755" s="440" t="s">
        <v>121</v>
      </c>
      <c r="G755" s="440" t="s">
        <v>178</v>
      </c>
    </row>
    <row r="756" spans="2:7" x14ac:dyDescent="0.35">
      <c r="B756" s="448" t="s">
        <v>75</v>
      </c>
      <c r="C756" s="369" t="s">
        <v>26</v>
      </c>
      <c r="D756" s="439"/>
      <c r="E756" s="440" t="s">
        <v>123</v>
      </c>
      <c r="F756" s="440" t="s">
        <v>121</v>
      </c>
      <c r="G756" s="440" t="s">
        <v>178</v>
      </c>
    </row>
    <row r="757" spans="2:7" x14ac:dyDescent="0.35">
      <c r="B757" s="449" t="s">
        <v>152</v>
      </c>
      <c r="C757" s="369" t="s">
        <v>26</v>
      </c>
      <c r="D757" s="439">
        <v>3.1960000000000002</v>
      </c>
      <c r="E757" s="440" t="s">
        <v>123</v>
      </c>
      <c r="F757" s="440" t="s">
        <v>121</v>
      </c>
      <c r="G757" s="440" t="s">
        <v>178</v>
      </c>
    </row>
    <row r="758" spans="2:7" x14ac:dyDescent="0.35">
      <c r="B758" s="447" t="s">
        <v>153</v>
      </c>
      <c r="C758" s="369" t="s">
        <v>26</v>
      </c>
      <c r="D758" s="439">
        <v>8.4966000000000008</v>
      </c>
      <c r="E758" s="440" t="s">
        <v>123</v>
      </c>
      <c r="F758" s="440" t="s">
        <v>121</v>
      </c>
      <c r="G758" s="440" t="s">
        <v>178</v>
      </c>
    </row>
    <row r="759" spans="2:7" ht="28.5" x14ac:dyDescent="0.35">
      <c r="B759" s="226" t="s">
        <v>101</v>
      </c>
      <c r="C759" s="227"/>
      <c r="D759" s="441">
        <v>35566.216270804682</v>
      </c>
      <c r="E759" s="440" t="s">
        <v>99</v>
      </c>
      <c r="F759" s="440" t="s">
        <v>121</v>
      </c>
      <c r="G759" s="440" t="s">
        <v>178</v>
      </c>
    </row>
    <row r="760" spans="2:7" ht="56.5" x14ac:dyDescent="0.35">
      <c r="B760" s="118" t="s">
        <v>179</v>
      </c>
      <c r="C760" s="106" t="s">
        <v>30</v>
      </c>
      <c r="D760" s="439">
        <v>124641.08</v>
      </c>
      <c r="E760" s="440" t="s">
        <v>99</v>
      </c>
      <c r="F760" s="440" t="s">
        <v>121</v>
      </c>
      <c r="G760" s="440" t="s">
        <v>178</v>
      </c>
    </row>
    <row r="761" spans="2:7" x14ac:dyDescent="0.35">
      <c r="B761" s="118" t="s">
        <v>180</v>
      </c>
      <c r="C761" s="106" t="s">
        <v>7</v>
      </c>
      <c r="D761" s="439">
        <v>193640.53</v>
      </c>
      <c r="E761" s="440" t="s">
        <v>99</v>
      </c>
      <c r="F761" s="440" t="s">
        <v>121</v>
      </c>
      <c r="G761" s="440" t="s">
        <v>178</v>
      </c>
    </row>
    <row r="762" spans="2:7" ht="56.5" x14ac:dyDescent="0.35">
      <c r="B762" s="118" t="s">
        <v>181</v>
      </c>
      <c r="C762" s="106" t="s">
        <v>30</v>
      </c>
      <c r="D762" s="439">
        <v>197227.57</v>
      </c>
      <c r="E762" s="440" t="s">
        <v>99</v>
      </c>
      <c r="F762" s="440" t="s">
        <v>121</v>
      </c>
      <c r="G762" s="440" t="s">
        <v>178</v>
      </c>
    </row>
    <row r="763" spans="2:7" x14ac:dyDescent="0.35">
      <c r="B763" s="118" t="s">
        <v>182</v>
      </c>
      <c r="C763" s="106" t="s">
        <v>7</v>
      </c>
      <c r="D763" s="439">
        <v>238386.46599999999</v>
      </c>
      <c r="E763" s="440" t="s">
        <v>99</v>
      </c>
      <c r="F763" s="440" t="s">
        <v>121</v>
      </c>
      <c r="G763" s="440" t="s">
        <v>178</v>
      </c>
    </row>
    <row r="764" spans="2:7" ht="28.5" x14ac:dyDescent="0.35">
      <c r="B764" s="226" t="s">
        <v>101</v>
      </c>
      <c r="C764" s="227"/>
      <c r="D764" s="441">
        <v>15919.933647113457</v>
      </c>
      <c r="E764" s="440" t="s">
        <v>122</v>
      </c>
      <c r="F764" s="440" t="s">
        <v>121</v>
      </c>
      <c r="G764" s="440" t="s">
        <v>178</v>
      </c>
    </row>
    <row r="765" spans="2:7" ht="56.5" x14ac:dyDescent="0.35">
      <c r="B765" s="118" t="s">
        <v>179</v>
      </c>
      <c r="C765" s="106" t="s">
        <v>30</v>
      </c>
      <c r="D765" s="439">
        <v>48669.33</v>
      </c>
      <c r="E765" s="440" t="s">
        <v>122</v>
      </c>
      <c r="F765" s="440" t="s">
        <v>121</v>
      </c>
      <c r="G765" s="440" t="s">
        <v>178</v>
      </c>
    </row>
    <row r="766" spans="2:7" x14ac:dyDescent="0.35">
      <c r="B766" s="118" t="s">
        <v>180</v>
      </c>
      <c r="C766" s="106" t="s">
        <v>7</v>
      </c>
      <c r="D766" s="439">
        <v>85566.62</v>
      </c>
      <c r="E766" s="440" t="s">
        <v>122</v>
      </c>
      <c r="F766" s="440" t="s">
        <v>121</v>
      </c>
      <c r="G766" s="440" t="s">
        <v>178</v>
      </c>
    </row>
    <row r="767" spans="2:7" ht="56.5" x14ac:dyDescent="0.35">
      <c r="B767" s="118" t="s">
        <v>181</v>
      </c>
      <c r="C767" s="106" t="s">
        <v>30</v>
      </c>
      <c r="D767" s="439">
        <v>65940.740000000005</v>
      </c>
      <c r="E767" s="440" t="s">
        <v>122</v>
      </c>
      <c r="F767" s="440" t="s">
        <v>121</v>
      </c>
      <c r="G767" s="440" t="s">
        <v>178</v>
      </c>
    </row>
    <row r="768" spans="2:7" x14ac:dyDescent="0.35">
      <c r="B768" s="118" t="s">
        <v>182</v>
      </c>
      <c r="C768" s="106" t="s">
        <v>7</v>
      </c>
      <c r="D768" s="439">
        <v>87357.03</v>
      </c>
      <c r="E768" s="440" t="s">
        <v>122</v>
      </c>
      <c r="F768" s="440" t="s">
        <v>121</v>
      </c>
      <c r="G768" s="440" t="s">
        <v>178</v>
      </c>
    </row>
    <row r="769" spans="2:7" ht="28.5" x14ac:dyDescent="0.35">
      <c r="B769" s="226" t="s">
        <v>101</v>
      </c>
      <c r="C769" s="227"/>
      <c r="D769" s="441">
        <v>9727.7845444887462</v>
      </c>
      <c r="E769" s="440" t="s">
        <v>123</v>
      </c>
      <c r="F769" s="440" t="s">
        <v>121</v>
      </c>
      <c r="G769" s="440" t="s">
        <v>178</v>
      </c>
    </row>
    <row r="770" spans="2:7" ht="56.5" x14ac:dyDescent="0.35">
      <c r="B770" s="118" t="s">
        <v>179</v>
      </c>
      <c r="C770" s="106" t="s">
        <v>30</v>
      </c>
      <c r="D770" s="439">
        <v>40456.28</v>
      </c>
      <c r="E770" s="440" t="s">
        <v>123</v>
      </c>
      <c r="F770" s="440" t="s">
        <v>121</v>
      </c>
      <c r="G770" s="440" t="s">
        <v>178</v>
      </c>
    </row>
    <row r="771" spans="2:7" x14ac:dyDescent="0.35">
      <c r="B771" s="118" t="s">
        <v>180</v>
      </c>
      <c r="C771" s="106" t="s">
        <v>7</v>
      </c>
      <c r="D771" s="439">
        <v>56054.199000000001</v>
      </c>
      <c r="E771" s="440" t="s">
        <v>123</v>
      </c>
      <c r="F771" s="440" t="s">
        <v>121</v>
      </c>
      <c r="G771" s="440" t="s">
        <v>178</v>
      </c>
    </row>
    <row r="772" spans="2:7" ht="56.5" x14ac:dyDescent="0.35">
      <c r="B772" s="118" t="s">
        <v>181</v>
      </c>
      <c r="C772" s="106" t="s">
        <v>30</v>
      </c>
      <c r="D772" s="439">
        <v>54298.94</v>
      </c>
      <c r="E772" s="440" t="s">
        <v>123</v>
      </c>
      <c r="F772" s="440" t="s">
        <v>121</v>
      </c>
      <c r="G772" s="440" t="s">
        <v>178</v>
      </c>
    </row>
    <row r="773" spans="2:7" x14ac:dyDescent="0.35">
      <c r="B773" s="118" t="s">
        <v>182</v>
      </c>
      <c r="C773" s="106" t="s">
        <v>7</v>
      </c>
      <c r="D773" s="439">
        <v>60650.400000000001</v>
      </c>
      <c r="E773" s="440" t="s">
        <v>123</v>
      </c>
      <c r="F773" s="440" t="s">
        <v>121</v>
      </c>
      <c r="G773" s="440" t="s">
        <v>178</v>
      </c>
    </row>
    <row r="774" spans="2:7" ht="42" x14ac:dyDescent="0.35">
      <c r="B774" s="107" t="s">
        <v>98</v>
      </c>
      <c r="C774" s="108"/>
      <c r="D774" s="441">
        <v>-6949.3708200000237</v>
      </c>
      <c r="E774" s="440" t="s">
        <v>99</v>
      </c>
      <c r="F774" s="440" t="s">
        <v>121</v>
      </c>
      <c r="G774" s="440" t="s">
        <v>183</v>
      </c>
    </row>
    <row r="775" spans="2:7" x14ac:dyDescent="0.35">
      <c r="B775" s="109" t="s">
        <v>11</v>
      </c>
      <c r="C775" s="104" t="s">
        <v>5</v>
      </c>
      <c r="D775" s="439">
        <v>43</v>
      </c>
      <c r="E775" s="440" t="s">
        <v>99</v>
      </c>
      <c r="F775" s="440" t="s">
        <v>121</v>
      </c>
      <c r="G775" s="440" t="s">
        <v>183</v>
      </c>
    </row>
    <row r="776" spans="2:7" x14ac:dyDescent="0.35">
      <c r="B776" s="110" t="s">
        <v>48</v>
      </c>
      <c r="C776" s="104" t="s">
        <v>5</v>
      </c>
      <c r="D776" s="439">
        <v>13099</v>
      </c>
      <c r="E776" s="440" t="s">
        <v>99</v>
      </c>
      <c r="F776" s="440" t="s">
        <v>121</v>
      </c>
      <c r="G776" s="440" t="s">
        <v>183</v>
      </c>
    </row>
    <row r="777" spans="2:7" x14ac:dyDescent="0.35">
      <c r="B777" s="110" t="s">
        <v>49</v>
      </c>
      <c r="C777" s="104" t="s">
        <v>5</v>
      </c>
      <c r="D777" s="439">
        <v>12827</v>
      </c>
      <c r="E777" s="440" t="s">
        <v>99</v>
      </c>
      <c r="F777" s="440" t="s">
        <v>121</v>
      </c>
      <c r="G777" s="440" t="s">
        <v>183</v>
      </c>
    </row>
    <row r="778" spans="2:7" x14ac:dyDescent="0.35">
      <c r="B778" s="111" t="s">
        <v>44</v>
      </c>
      <c r="C778" s="104" t="s">
        <v>5</v>
      </c>
      <c r="D778" s="439">
        <v>0</v>
      </c>
      <c r="E778" s="440" t="s">
        <v>99</v>
      </c>
      <c r="F778" s="440" t="s">
        <v>121</v>
      </c>
      <c r="G778" s="440" t="s">
        <v>183</v>
      </c>
    </row>
    <row r="779" spans="2:7" x14ac:dyDescent="0.35">
      <c r="B779" s="111" t="s">
        <v>45</v>
      </c>
      <c r="C779" s="104" t="s">
        <v>5</v>
      </c>
      <c r="D779" s="439">
        <v>272</v>
      </c>
      <c r="E779" s="440" t="s">
        <v>99</v>
      </c>
      <c r="F779" s="440" t="s">
        <v>121</v>
      </c>
      <c r="G779" s="440" t="s">
        <v>183</v>
      </c>
    </row>
    <row r="780" spans="2:7" x14ac:dyDescent="0.35">
      <c r="B780" s="110" t="s">
        <v>42</v>
      </c>
      <c r="C780" s="105" t="s">
        <v>7</v>
      </c>
      <c r="D780" s="439">
        <v>188387.64</v>
      </c>
      <c r="E780" s="440" t="s">
        <v>99</v>
      </c>
      <c r="F780" s="440" t="s">
        <v>121</v>
      </c>
      <c r="G780" s="440" t="s">
        <v>183</v>
      </c>
    </row>
    <row r="781" spans="2:7" x14ac:dyDescent="0.35">
      <c r="B781" s="110" t="s">
        <v>50</v>
      </c>
      <c r="C781" s="105" t="s">
        <v>7</v>
      </c>
      <c r="D781" s="439">
        <v>184240</v>
      </c>
      <c r="E781" s="440" t="s">
        <v>99</v>
      </c>
      <c r="F781" s="440" t="s">
        <v>121</v>
      </c>
      <c r="G781" s="440" t="s">
        <v>183</v>
      </c>
    </row>
    <row r="782" spans="2:7" x14ac:dyDescent="0.35">
      <c r="B782" s="112" t="s">
        <v>46</v>
      </c>
      <c r="C782" s="105" t="s">
        <v>7</v>
      </c>
      <c r="D782" s="439">
        <v>0</v>
      </c>
      <c r="E782" s="440" t="s">
        <v>99</v>
      </c>
      <c r="F782" s="440" t="s">
        <v>121</v>
      </c>
      <c r="G782" s="440" t="s">
        <v>183</v>
      </c>
    </row>
    <row r="783" spans="2:7" x14ac:dyDescent="0.35">
      <c r="B783" s="112" t="s">
        <v>47</v>
      </c>
      <c r="C783" s="105" t="s">
        <v>7</v>
      </c>
      <c r="D783" s="439">
        <v>4147.6400000000003</v>
      </c>
      <c r="E783" s="440" t="s">
        <v>99</v>
      </c>
      <c r="F783" s="440" t="s">
        <v>121</v>
      </c>
      <c r="G783" s="440" t="s">
        <v>183</v>
      </c>
    </row>
    <row r="784" spans="2:7" x14ac:dyDescent="0.35">
      <c r="B784" s="110" t="s">
        <v>43</v>
      </c>
      <c r="C784" s="223" t="s">
        <v>8</v>
      </c>
      <c r="D784" s="439">
        <v>1.6755</v>
      </c>
      <c r="E784" s="440" t="s">
        <v>99</v>
      </c>
      <c r="F784" s="440" t="s">
        <v>121</v>
      </c>
      <c r="G784" s="440" t="s">
        <v>183</v>
      </c>
    </row>
    <row r="785" spans="2:7" ht="42" x14ac:dyDescent="0.35">
      <c r="B785" s="107" t="s">
        <v>98</v>
      </c>
      <c r="C785" s="108"/>
      <c r="D785" s="441">
        <v>-1294.2280539999945</v>
      </c>
      <c r="E785" s="440" t="s">
        <v>122</v>
      </c>
      <c r="F785" s="440" t="s">
        <v>121</v>
      </c>
      <c r="G785" s="440" t="s">
        <v>183</v>
      </c>
    </row>
    <row r="786" spans="2:7" x14ac:dyDescent="0.35">
      <c r="B786" s="109" t="s">
        <v>11</v>
      </c>
      <c r="C786" s="104" t="s">
        <v>5</v>
      </c>
      <c r="D786" s="439">
        <v>13</v>
      </c>
      <c r="E786" s="440" t="s">
        <v>122</v>
      </c>
      <c r="F786" s="440" t="s">
        <v>121</v>
      </c>
      <c r="G786" s="440" t="s">
        <v>183</v>
      </c>
    </row>
    <row r="787" spans="2:7" x14ac:dyDescent="0.35">
      <c r="B787" s="110" t="s">
        <v>48</v>
      </c>
      <c r="C787" s="104" t="s">
        <v>5</v>
      </c>
      <c r="D787" s="439">
        <v>8889</v>
      </c>
      <c r="E787" s="440" t="s">
        <v>122</v>
      </c>
      <c r="F787" s="440" t="s">
        <v>121</v>
      </c>
      <c r="G787" s="440" t="s">
        <v>183</v>
      </c>
    </row>
    <row r="788" spans="2:7" x14ac:dyDescent="0.35">
      <c r="B788" s="110" t="s">
        <v>49</v>
      </c>
      <c r="C788" s="104" t="s">
        <v>5</v>
      </c>
      <c r="D788" s="439">
        <v>8721</v>
      </c>
      <c r="E788" s="440" t="s">
        <v>122</v>
      </c>
      <c r="F788" s="440" t="s">
        <v>121</v>
      </c>
      <c r="G788" s="440" t="s">
        <v>183</v>
      </c>
    </row>
    <row r="789" spans="2:7" x14ac:dyDescent="0.35">
      <c r="B789" s="111" t="s">
        <v>44</v>
      </c>
      <c r="C789" s="104" t="s">
        <v>5</v>
      </c>
      <c r="D789" s="439">
        <v>0</v>
      </c>
      <c r="E789" s="440" t="s">
        <v>122</v>
      </c>
      <c r="F789" s="440" t="s">
        <v>121</v>
      </c>
      <c r="G789" s="440" t="s">
        <v>183</v>
      </c>
    </row>
    <row r="790" spans="2:7" x14ac:dyDescent="0.35">
      <c r="B790" s="111" t="s">
        <v>45</v>
      </c>
      <c r="C790" s="104" t="s">
        <v>5</v>
      </c>
      <c r="D790" s="439">
        <v>168</v>
      </c>
      <c r="E790" s="440" t="s">
        <v>122</v>
      </c>
      <c r="F790" s="440" t="s">
        <v>121</v>
      </c>
      <c r="G790" s="440" t="s">
        <v>183</v>
      </c>
    </row>
    <row r="791" spans="2:7" x14ac:dyDescent="0.35">
      <c r="B791" s="110" t="s">
        <v>42</v>
      </c>
      <c r="C791" s="105" t="s">
        <v>7</v>
      </c>
      <c r="D791" s="439">
        <v>82584.09</v>
      </c>
      <c r="E791" s="440" t="s">
        <v>122</v>
      </c>
      <c r="F791" s="440" t="s">
        <v>121</v>
      </c>
      <c r="G791" s="440" t="s">
        <v>183</v>
      </c>
    </row>
    <row r="792" spans="2:7" x14ac:dyDescent="0.35">
      <c r="B792" s="110" t="s">
        <v>50</v>
      </c>
      <c r="C792" s="105" t="s">
        <v>7</v>
      </c>
      <c r="D792" s="439">
        <v>81070.55</v>
      </c>
      <c r="E792" s="440" t="s">
        <v>122</v>
      </c>
      <c r="F792" s="440" t="s">
        <v>121</v>
      </c>
      <c r="G792" s="440" t="s">
        <v>183</v>
      </c>
    </row>
    <row r="793" spans="2:7" x14ac:dyDescent="0.35">
      <c r="B793" s="112" t="s">
        <v>46</v>
      </c>
      <c r="C793" s="105" t="s">
        <v>7</v>
      </c>
      <c r="D793" s="439">
        <v>0</v>
      </c>
      <c r="E793" s="440" t="s">
        <v>122</v>
      </c>
      <c r="F793" s="440" t="s">
        <v>121</v>
      </c>
      <c r="G793" s="440" t="s">
        <v>183</v>
      </c>
    </row>
    <row r="794" spans="2:7" x14ac:dyDescent="0.35">
      <c r="B794" s="112" t="s">
        <v>47</v>
      </c>
      <c r="C794" s="105" t="s">
        <v>7</v>
      </c>
      <c r="D794" s="439">
        <v>1513.54</v>
      </c>
      <c r="E794" s="440" t="s">
        <v>122</v>
      </c>
      <c r="F794" s="440" t="s">
        <v>121</v>
      </c>
      <c r="G794" s="440" t="s">
        <v>183</v>
      </c>
    </row>
    <row r="795" spans="2:7" x14ac:dyDescent="0.35">
      <c r="B795" s="110" t="s">
        <v>43</v>
      </c>
      <c r="C795" s="223" t="s">
        <v>8</v>
      </c>
      <c r="D795" s="439">
        <v>0.85509999999999997</v>
      </c>
      <c r="E795" s="440" t="s">
        <v>122</v>
      </c>
      <c r="F795" s="440" t="s">
        <v>121</v>
      </c>
      <c r="G795" s="440" t="s">
        <v>183</v>
      </c>
    </row>
    <row r="796" spans="2:7" ht="42" x14ac:dyDescent="0.35">
      <c r="B796" s="107" t="s">
        <v>98</v>
      </c>
      <c r="C796" s="108"/>
      <c r="D796" s="441">
        <v>-6813.2444880000075</v>
      </c>
      <c r="E796" s="440" t="s">
        <v>123</v>
      </c>
      <c r="F796" s="440" t="s">
        <v>121</v>
      </c>
      <c r="G796" s="440" t="s">
        <v>183</v>
      </c>
    </row>
    <row r="797" spans="2:7" x14ac:dyDescent="0.35">
      <c r="B797" s="109" t="s">
        <v>11</v>
      </c>
      <c r="C797" s="104" t="s">
        <v>5</v>
      </c>
      <c r="D797" s="439">
        <v>20</v>
      </c>
      <c r="E797" s="440" t="s">
        <v>123</v>
      </c>
      <c r="F797" s="440" t="s">
        <v>121</v>
      </c>
      <c r="G797" s="440" t="s">
        <v>183</v>
      </c>
    </row>
    <row r="798" spans="2:7" x14ac:dyDescent="0.35">
      <c r="B798" s="110" t="s">
        <v>48</v>
      </c>
      <c r="C798" s="104" t="s">
        <v>5</v>
      </c>
      <c r="D798" s="439">
        <v>7884</v>
      </c>
      <c r="E798" s="440" t="s">
        <v>123</v>
      </c>
      <c r="F798" s="440" t="s">
        <v>121</v>
      </c>
      <c r="G798" s="440" t="s">
        <v>183</v>
      </c>
    </row>
    <row r="799" spans="2:7" x14ac:dyDescent="0.35">
      <c r="B799" s="110" t="s">
        <v>49</v>
      </c>
      <c r="C799" s="104" t="s">
        <v>5</v>
      </c>
      <c r="D799" s="439">
        <v>7576</v>
      </c>
      <c r="E799" s="440" t="s">
        <v>123</v>
      </c>
      <c r="F799" s="440" t="s">
        <v>121</v>
      </c>
      <c r="G799" s="440" t="s">
        <v>183</v>
      </c>
    </row>
    <row r="800" spans="2:7" x14ac:dyDescent="0.35">
      <c r="B800" s="111" t="s">
        <v>44</v>
      </c>
      <c r="C800" s="104" t="s">
        <v>5</v>
      </c>
      <c r="D800" s="439">
        <v>0</v>
      </c>
      <c r="E800" s="440" t="s">
        <v>123</v>
      </c>
      <c r="F800" s="440" t="s">
        <v>121</v>
      </c>
      <c r="G800" s="440" t="s">
        <v>183</v>
      </c>
    </row>
    <row r="801" spans="2:7" x14ac:dyDescent="0.35">
      <c r="B801" s="111" t="s">
        <v>45</v>
      </c>
      <c r="C801" s="104" t="s">
        <v>5</v>
      </c>
      <c r="D801" s="439">
        <v>308</v>
      </c>
      <c r="E801" s="440" t="s">
        <v>123</v>
      </c>
      <c r="F801" s="440" t="s">
        <v>121</v>
      </c>
      <c r="G801" s="440" t="s">
        <v>183</v>
      </c>
    </row>
    <row r="802" spans="2:7" x14ac:dyDescent="0.35">
      <c r="B802" s="110" t="s">
        <v>42</v>
      </c>
      <c r="C802" s="105" t="s">
        <v>7</v>
      </c>
      <c r="D802" s="439">
        <v>56138.485999999997</v>
      </c>
      <c r="E802" s="440" t="s">
        <v>123</v>
      </c>
      <c r="F802" s="440" t="s">
        <v>121</v>
      </c>
      <c r="G802" s="440" t="s">
        <v>183</v>
      </c>
    </row>
    <row r="803" spans="2:7" x14ac:dyDescent="0.35">
      <c r="B803" s="110" t="s">
        <v>50</v>
      </c>
      <c r="C803" s="105" t="s">
        <v>7</v>
      </c>
      <c r="D803" s="439">
        <v>53928.115999999995</v>
      </c>
      <c r="E803" s="440" t="s">
        <v>123</v>
      </c>
      <c r="F803" s="440" t="s">
        <v>121</v>
      </c>
      <c r="G803" s="440" t="s">
        <v>183</v>
      </c>
    </row>
    <row r="804" spans="2:7" x14ac:dyDescent="0.35">
      <c r="B804" s="112" t="s">
        <v>46</v>
      </c>
      <c r="C804" s="105" t="s">
        <v>7</v>
      </c>
      <c r="D804" s="439">
        <v>0</v>
      </c>
      <c r="E804" s="440" t="s">
        <v>123</v>
      </c>
      <c r="F804" s="440" t="s">
        <v>121</v>
      </c>
      <c r="G804" s="440" t="s">
        <v>183</v>
      </c>
    </row>
    <row r="805" spans="2:7" x14ac:dyDescent="0.35">
      <c r="B805" s="112" t="s">
        <v>47</v>
      </c>
      <c r="C805" s="105" t="s">
        <v>7</v>
      </c>
      <c r="D805" s="439">
        <v>2210.37</v>
      </c>
      <c r="E805" s="440" t="s">
        <v>123</v>
      </c>
      <c r="F805" s="440" t="s">
        <v>121</v>
      </c>
      <c r="G805" s="440" t="s">
        <v>183</v>
      </c>
    </row>
    <row r="806" spans="2:7" x14ac:dyDescent="0.35">
      <c r="B806" s="110" t="s">
        <v>43</v>
      </c>
      <c r="C806" s="223" t="s">
        <v>8</v>
      </c>
      <c r="D806" s="439">
        <v>3.0823999999999998</v>
      </c>
      <c r="E806" s="440" t="s">
        <v>123</v>
      </c>
      <c r="F806" s="440" t="s">
        <v>121</v>
      </c>
      <c r="G806" s="440" t="s">
        <v>183</v>
      </c>
    </row>
    <row r="807" spans="2:7" ht="56.5" x14ac:dyDescent="0.35">
      <c r="B807" s="113" t="s">
        <v>100</v>
      </c>
      <c r="C807" s="114"/>
      <c r="D807" s="441">
        <v>1.0979999999999999</v>
      </c>
      <c r="E807" s="440" t="s">
        <v>99</v>
      </c>
      <c r="F807" s="440" t="s">
        <v>121</v>
      </c>
      <c r="G807" s="440" t="s">
        <v>183</v>
      </c>
    </row>
    <row r="808" spans="2:7" ht="28.5" x14ac:dyDescent="0.35">
      <c r="B808" s="446" t="s">
        <v>39</v>
      </c>
      <c r="C808" s="369"/>
      <c r="D808" s="439"/>
      <c r="E808" s="440" t="s">
        <v>99</v>
      </c>
      <c r="F808" s="440" t="s">
        <v>121</v>
      </c>
      <c r="G808" s="440" t="s">
        <v>183</v>
      </c>
    </row>
    <row r="809" spans="2:7" x14ac:dyDescent="0.35">
      <c r="B809" s="447" t="s">
        <v>157</v>
      </c>
      <c r="C809" s="369" t="s">
        <v>25</v>
      </c>
      <c r="D809" s="439"/>
      <c r="E809" s="440" t="s">
        <v>99</v>
      </c>
      <c r="F809" s="440" t="s">
        <v>121</v>
      </c>
      <c r="G809" s="440" t="s">
        <v>183</v>
      </c>
    </row>
    <row r="810" spans="2:7" x14ac:dyDescent="0.35">
      <c r="B810" s="447" t="s">
        <v>158</v>
      </c>
      <c r="C810" s="369" t="s">
        <v>59</v>
      </c>
      <c r="D810" s="439">
        <v>0.24399999999999999</v>
      </c>
      <c r="E810" s="440" t="s">
        <v>99</v>
      </c>
      <c r="F810" s="440" t="s">
        <v>121</v>
      </c>
      <c r="G810" s="440" t="s">
        <v>183</v>
      </c>
    </row>
    <row r="811" spans="2:7" ht="28.5" x14ac:dyDescent="0.35">
      <c r="B811" s="446" t="s">
        <v>40</v>
      </c>
      <c r="C811" s="537" t="s">
        <v>26</v>
      </c>
      <c r="D811" s="439"/>
      <c r="E811" s="440" t="s">
        <v>99</v>
      </c>
      <c r="F811" s="440" t="s">
        <v>121</v>
      </c>
      <c r="G811" s="440" t="s">
        <v>183</v>
      </c>
    </row>
    <row r="812" spans="2:7" x14ac:dyDescent="0.35">
      <c r="B812" s="447" t="s">
        <v>157</v>
      </c>
      <c r="C812" s="537"/>
      <c r="D812" s="439"/>
      <c r="E812" s="440" t="s">
        <v>99</v>
      </c>
      <c r="F812" s="440" t="s">
        <v>121</v>
      </c>
      <c r="G812" s="440" t="s">
        <v>183</v>
      </c>
    </row>
    <row r="813" spans="2:7" x14ac:dyDescent="0.35">
      <c r="B813" s="447" t="s">
        <v>158</v>
      </c>
      <c r="C813" s="537"/>
      <c r="D813" s="439">
        <v>4.5</v>
      </c>
      <c r="E813" s="440" t="s">
        <v>99</v>
      </c>
      <c r="F813" s="440" t="s">
        <v>121</v>
      </c>
      <c r="G813" s="440" t="s">
        <v>183</v>
      </c>
    </row>
    <row r="814" spans="2:7" ht="56.5" x14ac:dyDescent="0.35">
      <c r="B814" s="113" t="s">
        <v>100</v>
      </c>
      <c r="C814" s="114"/>
      <c r="D814" s="441">
        <v>0.39599999999999996</v>
      </c>
      <c r="E814" s="440" t="s">
        <v>122</v>
      </c>
      <c r="F814" s="440" t="s">
        <v>121</v>
      </c>
      <c r="G814" s="440" t="s">
        <v>183</v>
      </c>
    </row>
    <row r="815" spans="2:7" ht="28.5" x14ac:dyDescent="0.35">
      <c r="B815" s="446" t="s">
        <v>39</v>
      </c>
      <c r="C815" s="369"/>
      <c r="D815" s="439"/>
      <c r="E815" s="440" t="s">
        <v>122</v>
      </c>
      <c r="F815" s="440" t="s">
        <v>121</v>
      </c>
      <c r="G815" s="440" t="s">
        <v>183</v>
      </c>
    </row>
    <row r="816" spans="2:7" x14ac:dyDescent="0.35">
      <c r="B816" s="447" t="s">
        <v>157</v>
      </c>
      <c r="C816" s="369" t="s">
        <v>25</v>
      </c>
      <c r="D816" s="439"/>
      <c r="E816" s="440" t="s">
        <v>122</v>
      </c>
      <c r="F816" s="440" t="s">
        <v>121</v>
      </c>
      <c r="G816" s="440" t="s">
        <v>183</v>
      </c>
    </row>
    <row r="817" spans="2:7" x14ac:dyDescent="0.35">
      <c r="B817" s="447" t="s">
        <v>158</v>
      </c>
      <c r="C817" s="369" t="s">
        <v>59</v>
      </c>
      <c r="D817" s="439">
        <v>8.7999999999999995E-2</v>
      </c>
      <c r="E817" s="440" t="s">
        <v>122</v>
      </c>
      <c r="F817" s="440" t="s">
        <v>121</v>
      </c>
      <c r="G817" s="440" t="s">
        <v>183</v>
      </c>
    </row>
    <row r="818" spans="2:7" ht="28.5" x14ac:dyDescent="0.35">
      <c r="B818" s="446" t="s">
        <v>40</v>
      </c>
      <c r="C818" s="537" t="s">
        <v>26</v>
      </c>
      <c r="D818" s="439"/>
      <c r="E818" s="440" t="s">
        <v>122</v>
      </c>
      <c r="F818" s="440" t="s">
        <v>121</v>
      </c>
      <c r="G818" s="440" t="s">
        <v>183</v>
      </c>
    </row>
    <row r="819" spans="2:7" x14ac:dyDescent="0.35">
      <c r="B819" s="447" t="s">
        <v>157</v>
      </c>
      <c r="C819" s="537"/>
      <c r="D819" s="439"/>
      <c r="E819" s="440" t="s">
        <v>122</v>
      </c>
      <c r="F819" s="440" t="s">
        <v>121</v>
      </c>
      <c r="G819" s="440" t="s">
        <v>183</v>
      </c>
    </row>
    <row r="820" spans="2:7" x14ac:dyDescent="0.35">
      <c r="B820" s="447" t="s">
        <v>158</v>
      </c>
      <c r="C820" s="537"/>
      <c r="D820" s="439">
        <v>4.5</v>
      </c>
      <c r="E820" s="440" t="s">
        <v>122</v>
      </c>
      <c r="F820" s="440" t="s">
        <v>121</v>
      </c>
      <c r="G820" s="440" t="s">
        <v>183</v>
      </c>
    </row>
    <row r="821" spans="2:7" ht="56.5" x14ac:dyDescent="0.35">
      <c r="B821" s="113" t="s">
        <v>100</v>
      </c>
      <c r="C821" s="114"/>
      <c r="D821" s="441">
        <v>14.31</v>
      </c>
      <c r="E821" s="440" t="s">
        <v>123</v>
      </c>
      <c r="F821" s="440" t="s">
        <v>121</v>
      </c>
      <c r="G821" s="440" t="s">
        <v>183</v>
      </c>
    </row>
    <row r="822" spans="2:7" ht="28.5" x14ac:dyDescent="0.35">
      <c r="B822" s="446" t="s">
        <v>39</v>
      </c>
      <c r="C822" s="369"/>
      <c r="D822" s="439"/>
      <c r="E822" s="440" t="s">
        <v>123</v>
      </c>
      <c r="F822" s="440" t="s">
        <v>121</v>
      </c>
      <c r="G822" s="440" t="s">
        <v>183</v>
      </c>
    </row>
    <row r="823" spans="2:7" x14ac:dyDescent="0.35">
      <c r="B823" s="447" t="s">
        <v>157</v>
      </c>
      <c r="C823" s="369" t="s">
        <v>25</v>
      </c>
      <c r="D823" s="439">
        <v>5</v>
      </c>
      <c r="E823" s="440" t="s">
        <v>123</v>
      </c>
      <c r="F823" s="440" t="s">
        <v>121</v>
      </c>
      <c r="G823" s="440" t="s">
        <v>183</v>
      </c>
    </row>
    <row r="824" spans="2:7" x14ac:dyDescent="0.35">
      <c r="B824" s="447" t="s">
        <v>158</v>
      </c>
      <c r="C824" s="369" t="s">
        <v>59</v>
      </c>
      <c r="D824" s="439"/>
      <c r="E824" s="440" t="s">
        <v>123</v>
      </c>
      <c r="F824" s="440" t="s">
        <v>121</v>
      </c>
      <c r="G824" s="440" t="s">
        <v>183</v>
      </c>
    </row>
    <row r="825" spans="2:7" ht="28.5" x14ac:dyDescent="0.35">
      <c r="B825" s="446" t="s">
        <v>40</v>
      </c>
      <c r="C825" s="537" t="s">
        <v>26</v>
      </c>
      <c r="D825" s="439"/>
      <c r="E825" s="440" t="s">
        <v>123</v>
      </c>
      <c r="F825" s="440" t="s">
        <v>121</v>
      </c>
      <c r="G825" s="440" t="s">
        <v>183</v>
      </c>
    </row>
    <row r="826" spans="2:7" x14ac:dyDescent="0.35">
      <c r="B826" s="447" t="s">
        <v>157</v>
      </c>
      <c r="C826" s="537"/>
      <c r="D826" s="439">
        <v>2.8620000000000001</v>
      </c>
      <c r="E826" s="440" t="s">
        <v>123</v>
      </c>
      <c r="F826" s="440" t="s">
        <v>121</v>
      </c>
      <c r="G826" s="440" t="s">
        <v>183</v>
      </c>
    </row>
    <row r="827" spans="2:7" x14ac:dyDescent="0.35">
      <c r="B827" s="447" t="s">
        <v>158</v>
      </c>
      <c r="C827" s="537"/>
      <c r="D827" s="439"/>
      <c r="E827" s="440" t="s">
        <v>123</v>
      </c>
      <c r="F827" s="440" t="s">
        <v>121</v>
      </c>
      <c r="G827" s="440" t="s">
        <v>183</v>
      </c>
    </row>
    <row r="828" spans="2:7" ht="28.5" x14ac:dyDescent="0.35">
      <c r="B828" s="226" t="s">
        <v>101</v>
      </c>
      <c r="C828" s="227"/>
      <c r="D828" s="441">
        <v>29565.454280688326</v>
      </c>
      <c r="E828" s="440" t="s">
        <v>99</v>
      </c>
      <c r="F828" s="440" t="s">
        <v>121</v>
      </c>
      <c r="G828" s="440" t="s">
        <v>183</v>
      </c>
    </row>
    <row r="829" spans="2:7" ht="56.5" x14ac:dyDescent="0.35">
      <c r="B829" s="118" t="s">
        <v>184</v>
      </c>
      <c r="C829" s="106" t="s">
        <v>30</v>
      </c>
      <c r="D829" s="439">
        <v>123559.9</v>
      </c>
      <c r="E829" s="440" t="s">
        <v>99</v>
      </c>
      <c r="F829" s="440" t="s">
        <v>121</v>
      </c>
      <c r="G829" s="440" t="s">
        <v>183</v>
      </c>
    </row>
    <row r="830" spans="2:7" x14ac:dyDescent="0.35">
      <c r="B830" s="118" t="s">
        <v>185</v>
      </c>
      <c r="C830" s="106" t="s">
        <v>7</v>
      </c>
      <c r="D830" s="439">
        <v>184240</v>
      </c>
      <c r="E830" s="440" t="s">
        <v>99</v>
      </c>
      <c r="F830" s="440" t="s">
        <v>121</v>
      </c>
      <c r="G830" s="440" t="s">
        <v>183</v>
      </c>
    </row>
    <row r="831" spans="2:7" ht="56.5" x14ac:dyDescent="0.35">
      <c r="B831" s="118" t="s">
        <v>186</v>
      </c>
      <c r="C831" s="106" t="s">
        <v>30</v>
      </c>
      <c r="D831" s="439">
        <v>183007.33</v>
      </c>
      <c r="E831" s="440" t="s">
        <v>99</v>
      </c>
      <c r="F831" s="440" t="s">
        <v>121</v>
      </c>
      <c r="G831" s="440" t="s">
        <v>183</v>
      </c>
    </row>
    <row r="832" spans="2:7" x14ac:dyDescent="0.35">
      <c r="B832" s="118" t="s">
        <v>187</v>
      </c>
      <c r="C832" s="106" t="s">
        <v>7</v>
      </c>
      <c r="D832" s="439">
        <v>220193.91</v>
      </c>
      <c r="E832" s="440" t="s">
        <v>99</v>
      </c>
      <c r="F832" s="440" t="s">
        <v>121</v>
      </c>
      <c r="G832" s="440" t="s">
        <v>183</v>
      </c>
    </row>
    <row r="833" spans="2:7" ht="28.5" x14ac:dyDescent="0.35">
      <c r="B833" s="226" t="s">
        <v>101</v>
      </c>
      <c r="C833" s="227"/>
      <c r="D833" s="441">
        <v>20292.916941084117</v>
      </c>
      <c r="E833" s="440" t="s">
        <v>122</v>
      </c>
      <c r="F833" s="440" t="s">
        <v>121</v>
      </c>
      <c r="G833" s="440" t="s">
        <v>183</v>
      </c>
    </row>
    <row r="834" spans="2:7" ht="56.5" x14ac:dyDescent="0.35">
      <c r="B834" s="118" t="s">
        <v>184</v>
      </c>
      <c r="C834" s="106" t="s">
        <v>30</v>
      </c>
      <c r="D834" s="439">
        <v>41461.47</v>
      </c>
      <c r="E834" s="440" t="s">
        <v>122</v>
      </c>
      <c r="F834" s="440" t="s">
        <v>121</v>
      </c>
      <c r="G834" s="440" t="s">
        <v>183</v>
      </c>
    </row>
    <row r="835" spans="2:7" x14ac:dyDescent="0.35">
      <c r="B835" s="118" t="s">
        <v>185</v>
      </c>
      <c r="C835" s="106" t="s">
        <v>7</v>
      </c>
      <c r="D835" s="439">
        <v>81070.55</v>
      </c>
      <c r="E835" s="440" t="s">
        <v>122</v>
      </c>
      <c r="F835" s="440" t="s">
        <v>121</v>
      </c>
      <c r="G835" s="440" t="s">
        <v>183</v>
      </c>
    </row>
    <row r="836" spans="2:7" ht="56.5" x14ac:dyDescent="0.35">
      <c r="B836" s="118" t="s">
        <v>186</v>
      </c>
      <c r="C836" s="106" t="s">
        <v>30</v>
      </c>
      <c r="D836" s="439">
        <v>64140.29</v>
      </c>
      <c r="E836" s="440" t="s">
        <v>122</v>
      </c>
      <c r="F836" s="440" t="s">
        <v>121</v>
      </c>
      <c r="G836" s="440" t="s">
        <v>183</v>
      </c>
    </row>
    <row r="837" spans="2:7" x14ac:dyDescent="0.35">
      <c r="B837" s="118" t="s">
        <v>187</v>
      </c>
      <c r="C837" s="106" t="s">
        <v>7</v>
      </c>
      <c r="D837" s="439">
        <v>84202.739999999976</v>
      </c>
      <c r="E837" s="440" t="s">
        <v>122</v>
      </c>
      <c r="F837" s="440" t="s">
        <v>121</v>
      </c>
      <c r="G837" s="440" t="s">
        <v>183</v>
      </c>
    </row>
    <row r="838" spans="2:7" ht="28.5" x14ac:dyDescent="0.35">
      <c r="B838" s="226" t="s">
        <v>101</v>
      </c>
      <c r="C838" s="227"/>
      <c r="D838" s="441">
        <v>7602.4766677485641</v>
      </c>
      <c r="E838" s="440" t="s">
        <v>123</v>
      </c>
      <c r="F838" s="440" t="s">
        <v>121</v>
      </c>
      <c r="G838" s="440" t="s">
        <v>183</v>
      </c>
    </row>
    <row r="839" spans="2:7" ht="56.5" x14ac:dyDescent="0.35">
      <c r="B839" s="118" t="s">
        <v>184</v>
      </c>
      <c r="C839" s="106" t="s">
        <v>30</v>
      </c>
      <c r="D839" s="439">
        <v>40505.980000000003</v>
      </c>
      <c r="E839" s="440" t="s">
        <v>123</v>
      </c>
      <c r="F839" s="440" t="s">
        <v>121</v>
      </c>
      <c r="G839" s="440" t="s">
        <v>183</v>
      </c>
    </row>
    <row r="840" spans="2:7" x14ac:dyDescent="0.35">
      <c r="B840" s="118" t="s">
        <v>185</v>
      </c>
      <c r="C840" s="106" t="s">
        <v>7</v>
      </c>
      <c r="D840" s="439">
        <v>53928.115999999995</v>
      </c>
      <c r="E840" s="440" t="s">
        <v>123</v>
      </c>
      <c r="F840" s="440" t="s">
        <v>121</v>
      </c>
      <c r="G840" s="440" t="s">
        <v>183</v>
      </c>
    </row>
    <row r="841" spans="2:7" ht="56.5" x14ac:dyDescent="0.35">
      <c r="B841" s="118" t="s">
        <v>186</v>
      </c>
      <c r="C841" s="106" t="s">
        <v>30</v>
      </c>
      <c r="D841" s="439">
        <v>51708.99</v>
      </c>
      <c r="E841" s="440" t="s">
        <v>123</v>
      </c>
      <c r="F841" s="440" t="s">
        <v>121</v>
      </c>
      <c r="G841" s="440" t="s">
        <v>183</v>
      </c>
    </row>
    <row r="842" spans="2:7" x14ac:dyDescent="0.35">
      <c r="B842" s="118" t="s">
        <v>187</v>
      </c>
      <c r="C842" s="106" t="s">
        <v>7</v>
      </c>
      <c r="D842" s="439">
        <v>57964.204302406324</v>
      </c>
      <c r="E842" s="440" t="s">
        <v>123</v>
      </c>
      <c r="F842" s="440" t="s">
        <v>121</v>
      </c>
      <c r="G842" s="440" t="s">
        <v>183</v>
      </c>
    </row>
    <row r="843" spans="2:7" ht="42" x14ac:dyDescent="0.35">
      <c r="B843" s="107" t="s">
        <v>98</v>
      </c>
      <c r="C843" s="108"/>
      <c r="D843" s="441">
        <v>0</v>
      </c>
      <c r="E843" s="440" t="s">
        <v>99</v>
      </c>
      <c r="F843" s="440" t="s">
        <v>121</v>
      </c>
      <c r="G843" s="440" t="s">
        <v>188</v>
      </c>
    </row>
    <row r="844" spans="2:7" x14ac:dyDescent="0.35">
      <c r="B844" s="109" t="s">
        <v>11</v>
      </c>
      <c r="C844" s="104" t="s">
        <v>5</v>
      </c>
      <c r="D844" s="439">
        <v>43</v>
      </c>
      <c r="E844" s="440" t="s">
        <v>99</v>
      </c>
      <c r="F844" s="440" t="s">
        <v>121</v>
      </c>
      <c r="G844" s="440" t="s">
        <v>188</v>
      </c>
    </row>
    <row r="845" spans="2:7" x14ac:dyDescent="0.35">
      <c r="B845" s="110" t="s">
        <v>48</v>
      </c>
      <c r="C845" s="104" t="s">
        <v>5</v>
      </c>
      <c r="D845" s="439">
        <v>13386</v>
      </c>
      <c r="E845" s="440" t="s">
        <v>99</v>
      </c>
      <c r="F845" s="440" t="s">
        <v>121</v>
      </c>
      <c r="G845" s="440" t="s">
        <v>188</v>
      </c>
    </row>
    <row r="846" spans="2:7" x14ac:dyDescent="0.35">
      <c r="B846" s="110" t="s">
        <v>49</v>
      </c>
      <c r="C846" s="104" t="s">
        <v>5</v>
      </c>
      <c r="D846" s="439">
        <v>13386</v>
      </c>
      <c r="E846" s="440" t="s">
        <v>99</v>
      </c>
      <c r="F846" s="440" t="s">
        <v>121</v>
      </c>
      <c r="G846" s="440" t="s">
        <v>188</v>
      </c>
    </row>
    <row r="847" spans="2:7" x14ac:dyDescent="0.35">
      <c r="B847" s="111" t="s">
        <v>44</v>
      </c>
      <c r="C847" s="104" t="s">
        <v>5</v>
      </c>
      <c r="D847" s="439">
        <v>0</v>
      </c>
      <c r="E847" s="440" t="s">
        <v>99</v>
      </c>
      <c r="F847" s="440" t="s">
        <v>121</v>
      </c>
      <c r="G847" s="440" t="s">
        <v>188</v>
      </c>
    </row>
    <row r="848" spans="2:7" x14ac:dyDescent="0.35">
      <c r="B848" s="111" t="s">
        <v>45</v>
      </c>
      <c r="C848" s="104" t="s">
        <v>5</v>
      </c>
      <c r="D848" s="439">
        <v>0</v>
      </c>
      <c r="E848" s="440" t="s">
        <v>99</v>
      </c>
      <c r="F848" s="440" t="s">
        <v>121</v>
      </c>
      <c r="G848" s="440" t="s">
        <v>188</v>
      </c>
    </row>
    <row r="849" spans="2:7" x14ac:dyDescent="0.35">
      <c r="B849" s="110" t="s">
        <v>42</v>
      </c>
      <c r="C849" s="105" t="s">
        <v>7</v>
      </c>
      <c r="D849" s="439">
        <v>192693.34</v>
      </c>
      <c r="E849" s="440" t="s">
        <v>99</v>
      </c>
      <c r="F849" s="440" t="s">
        <v>121</v>
      </c>
      <c r="G849" s="440" t="s">
        <v>188</v>
      </c>
    </row>
    <row r="850" spans="2:7" x14ac:dyDescent="0.35">
      <c r="B850" s="110" t="s">
        <v>50</v>
      </c>
      <c r="C850" s="105" t="s">
        <v>7</v>
      </c>
      <c r="D850" s="439">
        <v>192693.34</v>
      </c>
      <c r="E850" s="440" t="s">
        <v>99</v>
      </c>
      <c r="F850" s="440" t="s">
        <v>121</v>
      </c>
      <c r="G850" s="440" t="s">
        <v>188</v>
      </c>
    </row>
    <row r="851" spans="2:7" x14ac:dyDescent="0.35">
      <c r="B851" s="112" t="s">
        <v>46</v>
      </c>
      <c r="C851" s="105" t="s">
        <v>7</v>
      </c>
      <c r="D851" s="439">
        <v>0</v>
      </c>
      <c r="E851" s="440" t="s">
        <v>99</v>
      </c>
      <c r="F851" s="440" t="s">
        <v>121</v>
      </c>
      <c r="G851" s="440" t="s">
        <v>188</v>
      </c>
    </row>
    <row r="852" spans="2:7" x14ac:dyDescent="0.35">
      <c r="B852" s="112" t="s">
        <v>47</v>
      </c>
      <c r="C852" s="105" t="s">
        <v>7</v>
      </c>
      <c r="D852" s="439"/>
      <c r="E852" s="440" t="s">
        <v>99</v>
      </c>
      <c r="F852" s="440" t="s">
        <v>121</v>
      </c>
      <c r="G852" s="440" t="s">
        <v>188</v>
      </c>
    </row>
    <row r="853" spans="2:7" x14ac:dyDescent="0.35">
      <c r="B853" s="110" t="s">
        <v>43</v>
      </c>
      <c r="C853" s="223" t="s">
        <v>8</v>
      </c>
      <c r="D853" s="439">
        <v>2.8471000000000002</v>
      </c>
      <c r="E853" s="440" t="s">
        <v>99</v>
      </c>
      <c r="F853" s="440" t="s">
        <v>121</v>
      </c>
      <c r="G853" s="440" t="s">
        <v>188</v>
      </c>
    </row>
    <row r="854" spans="2:7" ht="42" x14ac:dyDescent="0.35">
      <c r="B854" s="107" t="s">
        <v>98</v>
      </c>
      <c r="C854" s="108"/>
      <c r="D854" s="441">
        <v>0</v>
      </c>
      <c r="E854" s="440" t="s">
        <v>122</v>
      </c>
      <c r="F854" s="440" t="s">
        <v>121</v>
      </c>
      <c r="G854" s="440" t="s">
        <v>188</v>
      </c>
    </row>
    <row r="855" spans="2:7" x14ac:dyDescent="0.35">
      <c r="B855" s="109" t="s">
        <v>11</v>
      </c>
      <c r="C855" s="104" t="s">
        <v>5</v>
      </c>
      <c r="D855" s="439">
        <v>13</v>
      </c>
      <c r="E855" s="440" t="s">
        <v>122</v>
      </c>
      <c r="F855" s="440" t="s">
        <v>121</v>
      </c>
      <c r="G855" s="440" t="s">
        <v>188</v>
      </c>
    </row>
    <row r="856" spans="2:7" x14ac:dyDescent="0.35">
      <c r="B856" s="110" t="s">
        <v>48</v>
      </c>
      <c r="C856" s="104" t="s">
        <v>5</v>
      </c>
      <c r="D856" s="439">
        <v>9097</v>
      </c>
      <c r="E856" s="440" t="s">
        <v>122</v>
      </c>
      <c r="F856" s="440" t="s">
        <v>121</v>
      </c>
      <c r="G856" s="440" t="s">
        <v>188</v>
      </c>
    </row>
    <row r="857" spans="2:7" x14ac:dyDescent="0.35">
      <c r="B857" s="110" t="s">
        <v>49</v>
      </c>
      <c r="C857" s="104" t="s">
        <v>5</v>
      </c>
      <c r="D857" s="439">
        <v>9097</v>
      </c>
      <c r="E857" s="440" t="s">
        <v>122</v>
      </c>
      <c r="F857" s="440" t="s">
        <v>121</v>
      </c>
      <c r="G857" s="440" t="s">
        <v>188</v>
      </c>
    </row>
    <row r="858" spans="2:7" x14ac:dyDescent="0.35">
      <c r="B858" s="111" t="s">
        <v>44</v>
      </c>
      <c r="C858" s="104" t="s">
        <v>5</v>
      </c>
      <c r="D858" s="439">
        <v>0</v>
      </c>
      <c r="E858" s="440" t="s">
        <v>122</v>
      </c>
      <c r="F858" s="440" t="s">
        <v>121</v>
      </c>
      <c r="G858" s="440" t="s">
        <v>188</v>
      </c>
    </row>
    <row r="859" spans="2:7" x14ac:dyDescent="0.35">
      <c r="B859" s="111" t="s">
        <v>45</v>
      </c>
      <c r="C859" s="104" t="s">
        <v>5</v>
      </c>
      <c r="D859" s="439">
        <v>0</v>
      </c>
      <c r="E859" s="440" t="s">
        <v>122</v>
      </c>
      <c r="F859" s="440" t="s">
        <v>121</v>
      </c>
      <c r="G859" s="440" t="s">
        <v>188</v>
      </c>
    </row>
    <row r="860" spans="2:7" x14ac:dyDescent="0.35">
      <c r="B860" s="110" t="s">
        <v>42</v>
      </c>
      <c r="C860" s="105" t="s">
        <v>7</v>
      </c>
      <c r="D860" s="439">
        <v>84976.39</v>
      </c>
      <c r="E860" s="440" t="s">
        <v>122</v>
      </c>
      <c r="F860" s="440" t="s">
        <v>121</v>
      </c>
      <c r="G860" s="440" t="s">
        <v>188</v>
      </c>
    </row>
    <row r="861" spans="2:7" x14ac:dyDescent="0.35">
      <c r="B861" s="110" t="s">
        <v>50</v>
      </c>
      <c r="C861" s="105" t="s">
        <v>7</v>
      </c>
      <c r="D861" s="439">
        <v>84976.39</v>
      </c>
      <c r="E861" s="440" t="s">
        <v>122</v>
      </c>
      <c r="F861" s="440" t="s">
        <v>121</v>
      </c>
      <c r="G861" s="440" t="s">
        <v>188</v>
      </c>
    </row>
    <row r="862" spans="2:7" x14ac:dyDescent="0.35">
      <c r="B862" s="112" t="s">
        <v>46</v>
      </c>
      <c r="C862" s="105" t="s">
        <v>7</v>
      </c>
      <c r="D862" s="439"/>
      <c r="E862" s="440" t="s">
        <v>122</v>
      </c>
      <c r="F862" s="440" t="s">
        <v>121</v>
      </c>
      <c r="G862" s="440" t="s">
        <v>188</v>
      </c>
    </row>
    <row r="863" spans="2:7" x14ac:dyDescent="0.35">
      <c r="B863" s="112" t="s">
        <v>47</v>
      </c>
      <c r="C863" s="105" t="s">
        <v>7</v>
      </c>
      <c r="D863" s="439"/>
      <c r="E863" s="440" t="s">
        <v>122</v>
      </c>
      <c r="F863" s="440" t="s">
        <v>121</v>
      </c>
      <c r="G863" s="440" t="s">
        <v>188</v>
      </c>
    </row>
    <row r="864" spans="2:7" x14ac:dyDescent="0.35">
      <c r="B864" s="110" t="s">
        <v>43</v>
      </c>
      <c r="C864" s="223" t="s">
        <v>8</v>
      </c>
      <c r="D864" s="439">
        <v>1.804</v>
      </c>
      <c r="E864" s="440" t="s">
        <v>122</v>
      </c>
      <c r="F864" s="440" t="s">
        <v>121</v>
      </c>
      <c r="G864" s="440" t="s">
        <v>188</v>
      </c>
    </row>
    <row r="865" spans="2:7" ht="42" x14ac:dyDescent="0.35">
      <c r="B865" s="107" t="s">
        <v>98</v>
      </c>
      <c r="C865" s="108"/>
      <c r="D865" s="441">
        <v>0</v>
      </c>
      <c r="E865" s="440" t="s">
        <v>123</v>
      </c>
      <c r="F865" s="440" t="s">
        <v>121</v>
      </c>
      <c r="G865" s="440" t="s">
        <v>188</v>
      </c>
    </row>
    <row r="866" spans="2:7" x14ac:dyDescent="0.35">
      <c r="B866" s="109" t="s">
        <v>11</v>
      </c>
      <c r="C866" s="104" t="s">
        <v>5</v>
      </c>
      <c r="D866" s="439">
        <v>20</v>
      </c>
      <c r="E866" s="440" t="s">
        <v>123</v>
      </c>
      <c r="F866" s="440" t="s">
        <v>121</v>
      </c>
      <c r="G866" s="440" t="s">
        <v>188</v>
      </c>
    </row>
    <row r="867" spans="2:7" x14ac:dyDescent="0.35">
      <c r="B867" s="110" t="s">
        <v>48</v>
      </c>
      <c r="C867" s="104" t="s">
        <v>5</v>
      </c>
      <c r="D867" s="439">
        <v>8116</v>
      </c>
      <c r="E867" s="440" t="s">
        <v>123</v>
      </c>
      <c r="F867" s="440" t="s">
        <v>121</v>
      </c>
      <c r="G867" s="440" t="s">
        <v>188</v>
      </c>
    </row>
    <row r="868" spans="2:7" x14ac:dyDescent="0.35">
      <c r="B868" s="110" t="s">
        <v>49</v>
      </c>
      <c r="C868" s="104" t="s">
        <v>5</v>
      </c>
      <c r="D868" s="439">
        <v>8116</v>
      </c>
      <c r="E868" s="440" t="s">
        <v>123</v>
      </c>
      <c r="F868" s="440" t="s">
        <v>121</v>
      </c>
      <c r="G868" s="440" t="s">
        <v>188</v>
      </c>
    </row>
    <row r="869" spans="2:7" x14ac:dyDescent="0.35">
      <c r="B869" s="111" t="s">
        <v>44</v>
      </c>
      <c r="C869" s="104" t="s">
        <v>5</v>
      </c>
      <c r="D869" s="439">
        <v>0</v>
      </c>
      <c r="E869" s="440" t="s">
        <v>123</v>
      </c>
      <c r="F869" s="440" t="s">
        <v>121</v>
      </c>
      <c r="G869" s="440" t="s">
        <v>188</v>
      </c>
    </row>
    <row r="870" spans="2:7" x14ac:dyDescent="0.35">
      <c r="B870" s="111" t="s">
        <v>45</v>
      </c>
      <c r="C870" s="104" t="s">
        <v>5</v>
      </c>
      <c r="D870" s="439">
        <v>0</v>
      </c>
      <c r="E870" s="440" t="s">
        <v>123</v>
      </c>
      <c r="F870" s="440" t="s">
        <v>121</v>
      </c>
      <c r="G870" s="440" t="s">
        <v>188</v>
      </c>
    </row>
    <row r="871" spans="2:7" x14ac:dyDescent="0.35">
      <c r="B871" s="110" t="s">
        <v>42</v>
      </c>
      <c r="C871" s="105" t="s">
        <v>7</v>
      </c>
      <c r="D871" s="439">
        <v>57790.92</v>
      </c>
      <c r="E871" s="440" t="s">
        <v>123</v>
      </c>
      <c r="F871" s="440" t="s">
        <v>121</v>
      </c>
      <c r="G871" s="440" t="s">
        <v>188</v>
      </c>
    </row>
    <row r="872" spans="2:7" x14ac:dyDescent="0.35">
      <c r="B872" s="110" t="s">
        <v>50</v>
      </c>
      <c r="C872" s="105" t="s">
        <v>7</v>
      </c>
      <c r="D872" s="439">
        <v>57790.92</v>
      </c>
      <c r="E872" s="440" t="s">
        <v>123</v>
      </c>
      <c r="F872" s="440" t="s">
        <v>121</v>
      </c>
      <c r="G872" s="440" t="s">
        <v>188</v>
      </c>
    </row>
    <row r="873" spans="2:7" x14ac:dyDescent="0.35">
      <c r="B873" s="112" t="s">
        <v>46</v>
      </c>
      <c r="C873" s="105" t="s">
        <v>7</v>
      </c>
      <c r="D873" s="439"/>
      <c r="E873" s="440" t="s">
        <v>123</v>
      </c>
      <c r="F873" s="440" t="s">
        <v>121</v>
      </c>
      <c r="G873" s="440" t="s">
        <v>188</v>
      </c>
    </row>
    <row r="874" spans="2:7" x14ac:dyDescent="0.35">
      <c r="B874" s="112" t="s">
        <v>47</v>
      </c>
      <c r="C874" s="105" t="s">
        <v>7</v>
      </c>
      <c r="D874" s="439"/>
      <c r="E874" s="440" t="s">
        <v>123</v>
      </c>
      <c r="F874" s="440" t="s">
        <v>121</v>
      </c>
      <c r="G874" s="440" t="s">
        <v>188</v>
      </c>
    </row>
    <row r="875" spans="2:7" x14ac:dyDescent="0.35">
      <c r="B875" s="110" t="s">
        <v>43</v>
      </c>
      <c r="C875" s="223" t="s">
        <v>8</v>
      </c>
      <c r="D875" s="439">
        <v>5.8507999999999996</v>
      </c>
      <c r="E875" s="440" t="s">
        <v>123</v>
      </c>
      <c r="F875" s="440" t="s">
        <v>121</v>
      </c>
      <c r="G875" s="440" t="s">
        <v>188</v>
      </c>
    </row>
    <row r="876" spans="2:7" ht="56.5" x14ac:dyDescent="0.35">
      <c r="B876" s="113" t="s">
        <v>100</v>
      </c>
      <c r="C876" s="114"/>
      <c r="D876" s="441">
        <v>76.087951999999987</v>
      </c>
      <c r="E876" s="440" t="s">
        <v>99</v>
      </c>
      <c r="F876" s="440" t="s">
        <v>121</v>
      </c>
      <c r="G876" s="440" t="s">
        <v>188</v>
      </c>
    </row>
    <row r="877" spans="2:7" ht="28.5" x14ac:dyDescent="0.35">
      <c r="B877" s="446" t="s">
        <v>39</v>
      </c>
      <c r="C877" s="369"/>
      <c r="D877" s="439"/>
      <c r="E877" s="440" t="s">
        <v>99</v>
      </c>
      <c r="F877" s="440" t="s">
        <v>121</v>
      </c>
      <c r="G877" s="440" t="s">
        <v>188</v>
      </c>
    </row>
    <row r="878" spans="2:7" x14ac:dyDescent="0.35">
      <c r="B878" s="447" t="s">
        <v>149</v>
      </c>
      <c r="C878" s="369" t="s">
        <v>59</v>
      </c>
      <c r="D878" s="439">
        <v>0.76700000000000002</v>
      </c>
      <c r="E878" s="440" t="s">
        <v>99</v>
      </c>
      <c r="F878" s="440" t="s">
        <v>121</v>
      </c>
      <c r="G878" s="440" t="s">
        <v>188</v>
      </c>
    </row>
    <row r="879" spans="2:7" x14ac:dyDescent="0.35">
      <c r="B879" s="447" t="s">
        <v>161</v>
      </c>
      <c r="C879" s="369" t="s">
        <v>59</v>
      </c>
      <c r="D879" s="439">
        <v>249</v>
      </c>
      <c r="E879" s="440" t="s">
        <v>99</v>
      </c>
      <c r="F879" s="440" t="s">
        <v>121</v>
      </c>
      <c r="G879" s="440" t="s">
        <v>188</v>
      </c>
    </row>
    <row r="880" spans="2:7" x14ac:dyDescent="0.35">
      <c r="B880" s="450" t="s">
        <v>75</v>
      </c>
      <c r="C880" s="369"/>
      <c r="D880" s="439"/>
      <c r="E880" s="440" t="s">
        <v>99</v>
      </c>
      <c r="F880" s="440" t="s">
        <v>121</v>
      </c>
      <c r="G880" s="440" t="s">
        <v>188</v>
      </c>
    </row>
    <row r="881" spans="2:7" x14ac:dyDescent="0.35">
      <c r="B881" s="447" t="s">
        <v>76</v>
      </c>
      <c r="C881" s="369" t="s">
        <v>59</v>
      </c>
      <c r="D881" s="439"/>
      <c r="E881" s="440" t="s">
        <v>99</v>
      </c>
      <c r="F881" s="440" t="s">
        <v>121</v>
      </c>
      <c r="G881" s="440" t="s">
        <v>188</v>
      </c>
    </row>
    <row r="882" spans="2:7" ht="28.5" x14ac:dyDescent="0.35">
      <c r="B882" s="446" t="s">
        <v>40</v>
      </c>
      <c r="C882" s="369" t="s">
        <v>26</v>
      </c>
      <c r="D882" s="439"/>
      <c r="E882" s="440" t="s">
        <v>99</v>
      </c>
      <c r="F882" s="440" t="s">
        <v>121</v>
      </c>
      <c r="G882" s="440" t="s">
        <v>188</v>
      </c>
    </row>
    <row r="883" spans="2:7" x14ac:dyDescent="0.35">
      <c r="B883" s="447" t="s">
        <v>149</v>
      </c>
      <c r="C883" s="369" t="s">
        <v>26</v>
      </c>
      <c r="D883" s="439">
        <v>5.056</v>
      </c>
      <c r="E883" s="440" t="s">
        <v>99</v>
      </c>
      <c r="F883" s="440" t="s">
        <v>121</v>
      </c>
      <c r="G883" s="440" t="s">
        <v>188</v>
      </c>
    </row>
    <row r="884" spans="2:7" x14ac:dyDescent="0.35">
      <c r="B884" s="447" t="s">
        <v>161</v>
      </c>
      <c r="C884" s="369" t="s">
        <v>26</v>
      </c>
      <c r="D884" s="439">
        <v>0.28999999999999998</v>
      </c>
      <c r="E884" s="440" t="s">
        <v>99</v>
      </c>
      <c r="F884" s="440" t="s">
        <v>121</v>
      </c>
      <c r="G884" s="440" t="s">
        <v>188</v>
      </c>
    </row>
    <row r="885" spans="2:7" x14ac:dyDescent="0.35">
      <c r="B885" s="450" t="s">
        <v>75</v>
      </c>
      <c r="C885" s="369" t="s">
        <v>26</v>
      </c>
      <c r="D885" s="439"/>
      <c r="E885" s="440" t="s">
        <v>99</v>
      </c>
      <c r="F885" s="440" t="s">
        <v>121</v>
      </c>
      <c r="G885" s="440" t="s">
        <v>188</v>
      </c>
    </row>
    <row r="886" spans="2:7" x14ac:dyDescent="0.35">
      <c r="B886" s="447" t="s">
        <v>76</v>
      </c>
      <c r="C886" s="369" t="s">
        <v>26</v>
      </c>
      <c r="D886" s="439"/>
      <c r="E886" s="440" t="s">
        <v>99</v>
      </c>
      <c r="F886" s="440" t="s">
        <v>121</v>
      </c>
      <c r="G886" s="440" t="s">
        <v>188</v>
      </c>
    </row>
    <row r="887" spans="2:7" ht="56.5" x14ac:dyDescent="0.35">
      <c r="B887" s="113" t="s">
        <v>100</v>
      </c>
      <c r="C887" s="114"/>
      <c r="D887" s="441">
        <v>21.326570999999998</v>
      </c>
      <c r="E887" s="440" t="s">
        <v>122</v>
      </c>
      <c r="F887" s="440" t="s">
        <v>121</v>
      </c>
      <c r="G887" s="440" t="s">
        <v>188</v>
      </c>
    </row>
    <row r="888" spans="2:7" ht="28.5" x14ac:dyDescent="0.35">
      <c r="B888" s="446" t="s">
        <v>39</v>
      </c>
      <c r="C888" s="369"/>
      <c r="D888" s="439"/>
      <c r="E888" s="440" t="s">
        <v>122</v>
      </c>
      <c r="F888" s="440" t="s">
        <v>121</v>
      </c>
      <c r="G888" s="440" t="s">
        <v>188</v>
      </c>
    </row>
    <row r="889" spans="2:7" x14ac:dyDescent="0.35">
      <c r="B889" s="447" t="s">
        <v>149</v>
      </c>
      <c r="C889" s="369" t="s">
        <v>59</v>
      </c>
      <c r="D889" s="439">
        <v>0.20300000000000001</v>
      </c>
      <c r="E889" s="440" t="s">
        <v>122</v>
      </c>
      <c r="F889" s="440" t="s">
        <v>121</v>
      </c>
      <c r="G889" s="440" t="s">
        <v>188</v>
      </c>
    </row>
    <row r="890" spans="2:7" x14ac:dyDescent="0.35">
      <c r="B890" s="447" t="s">
        <v>161</v>
      </c>
      <c r="C890" s="369" t="s">
        <v>59</v>
      </c>
      <c r="D890" s="439">
        <v>70</v>
      </c>
      <c r="E890" s="440" t="s">
        <v>122</v>
      </c>
      <c r="F890" s="440" t="s">
        <v>121</v>
      </c>
      <c r="G890" s="440" t="s">
        <v>188</v>
      </c>
    </row>
    <row r="891" spans="2:7" x14ac:dyDescent="0.35">
      <c r="B891" s="450" t="s">
        <v>75</v>
      </c>
      <c r="C891" s="369"/>
      <c r="D891" s="439"/>
      <c r="E891" s="440" t="s">
        <v>122</v>
      </c>
      <c r="F891" s="440" t="s">
        <v>121</v>
      </c>
      <c r="G891" s="440" t="s">
        <v>188</v>
      </c>
    </row>
    <row r="892" spans="2:7" x14ac:dyDescent="0.35">
      <c r="B892" s="447" t="s">
        <v>76</v>
      </c>
      <c r="C892" s="369" t="s">
        <v>59</v>
      </c>
      <c r="D892" s="439"/>
      <c r="E892" s="440" t="s">
        <v>122</v>
      </c>
      <c r="F892" s="440" t="s">
        <v>121</v>
      </c>
      <c r="G892" s="440" t="s">
        <v>188</v>
      </c>
    </row>
    <row r="893" spans="2:7" ht="28.5" x14ac:dyDescent="0.35">
      <c r="B893" s="446" t="s">
        <v>40</v>
      </c>
      <c r="C893" s="369" t="s">
        <v>26</v>
      </c>
      <c r="D893" s="439"/>
      <c r="E893" s="440" t="s">
        <v>122</v>
      </c>
      <c r="F893" s="440" t="s">
        <v>121</v>
      </c>
      <c r="G893" s="440" t="s">
        <v>188</v>
      </c>
    </row>
    <row r="894" spans="2:7" x14ac:dyDescent="0.35">
      <c r="B894" s="447" t="s">
        <v>149</v>
      </c>
      <c r="C894" s="369" t="s">
        <v>26</v>
      </c>
      <c r="D894" s="439">
        <v>5.0570000000000004</v>
      </c>
      <c r="E894" s="440" t="s">
        <v>122</v>
      </c>
      <c r="F894" s="440" t="s">
        <v>121</v>
      </c>
      <c r="G894" s="440" t="s">
        <v>188</v>
      </c>
    </row>
    <row r="895" spans="2:7" x14ac:dyDescent="0.35">
      <c r="B895" s="447" t="s">
        <v>161</v>
      </c>
      <c r="C895" s="369" t="s">
        <v>26</v>
      </c>
      <c r="D895" s="439">
        <v>0.28999999999999998</v>
      </c>
      <c r="E895" s="440" t="s">
        <v>122</v>
      </c>
      <c r="F895" s="440" t="s">
        <v>121</v>
      </c>
      <c r="G895" s="440" t="s">
        <v>188</v>
      </c>
    </row>
    <row r="896" spans="2:7" x14ac:dyDescent="0.35">
      <c r="B896" s="450" t="s">
        <v>75</v>
      </c>
      <c r="C896" s="369" t="s">
        <v>26</v>
      </c>
      <c r="D896" s="439"/>
      <c r="E896" s="440" t="s">
        <v>122</v>
      </c>
      <c r="F896" s="440" t="s">
        <v>121</v>
      </c>
      <c r="G896" s="440" t="s">
        <v>188</v>
      </c>
    </row>
    <row r="897" spans="2:7" x14ac:dyDescent="0.35">
      <c r="B897" s="447" t="s">
        <v>76</v>
      </c>
      <c r="C897" s="369" t="s">
        <v>26</v>
      </c>
      <c r="D897" s="439"/>
      <c r="E897" s="440" t="s">
        <v>122</v>
      </c>
      <c r="F897" s="440" t="s">
        <v>121</v>
      </c>
      <c r="G897" s="440" t="s">
        <v>188</v>
      </c>
    </row>
    <row r="898" spans="2:7" ht="56.5" x14ac:dyDescent="0.35">
      <c r="B898" s="113" t="s">
        <v>100</v>
      </c>
      <c r="C898" s="114"/>
      <c r="D898" s="441">
        <v>14.02</v>
      </c>
      <c r="E898" s="440" t="s">
        <v>123</v>
      </c>
      <c r="F898" s="440" t="s">
        <v>121</v>
      </c>
      <c r="G898" s="440" t="s">
        <v>188</v>
      </c>
    </row>
    <row r="899" spans="2:7" ht="28.5" x14ac:dyDescent="0.35">
      <c r="B899" s="446" t="s">
        <v>39</v>
      </c>
      <c r="C899" s="369"/>
      <c r="D899" s="439"/>
      <c r="E899" s="440" t="s">
        <v>123</v>
      </c>
      <c r="F899" s="440" t="s">
        <v>121</v>
      </c>
      <c r="G899" s="440" t="s">
        <v>188</v>
      </c>
    </row>
    <row r="900" spans="2:7" x14ac:dyDescent="0.35">
      <c r="B900" s="447" t="s">
        <v>149</v>
      </c>
      <c r="C900" s="369" t="s">
        <v>59</v>
      </c>
      <c r="D900" s="439"/>
      <c r="E900" s="440" t="s">
        <v>123</v>
      </c>
      <c r="F900" s="440" t="s">
        <v>121</v>
      </c>
      <c r="G900" s="440" t="s">
        <v>188</v>
      </c>
    </row>
    <row r="901" spans="2:7" x14ac:dyDescent="0.35">
      <c r="B901" s="447" t="s">
        <v>161</v>
      </c>
      <c r="C901" s="369" t="s">
        <v>59</v>
      </c>
      <c r="D901" s="439"/>
      <c r="E901" s="440" t="s">
        <v>123</v>
      </c>
      <c r="F901" s="440" t="s">
        <v>121</v>
      </c>
      <c r="G901" s="440" t="s">
        <v>188</v>
      </c>
    </row>
    <row r="902" spans="2:7" x14ac:dyDescent="0.35">
      <c r="B902" s="450" t="s">
        <v>75</v>
      </c>
      <c r="C902" s="369"/>
      <c r="D902" s="439"/>
      <c r="E902" s="440" t="s">
        <v>123</v>
      </c>
      <c r="F902" s="440" t="s">
        <v>121</v>
      </c>
      <c r="G902" s="440" t="s">
        <v>188</v>
      </c>
    </row>
    <row r="903" spans="2:7" x14ac:dyDescent="0.35">
      <c r="B903" s="447" t="s">
        <v>76</v>
      </c>
      <c r="C903" s="369" t="s">
        <v>59</v>
      </c>
      <c r="D903" s="439">
        <v>4</v>
      </c>
      <c r="E903" s="440" t="s">
        <v>123</v>
      </c>
      <c r="F903" s="440" t="s">
        <v>121</v>
      </c>
      <c r="G903" s="440" t="s">
        <v>188</v>
      </c>
    </row>
    <row r="904" spans="2:7" ht="28.5" x14ac:dyDescent="0.35">
      <c r="B904" s="446" t="s">
        <v>40</v>
      </c>
      <c r="C904" s="369" t="s">
        <v>26</v>
      </c>
      <c r="D904" s="439"/>
      <c r="E904" s="440" t="s">
        <v>123</v>
      </c>
      <c r="F904" s="440" t="s">
        <v>121</v>
      </c>
      <c r="G904" s="440" t="s">
        <v>188</v>
      </c>
    </row>
    <row r="905" spans="2:7" x14ac:dyDescent="0.35">
      <c r="B905" s="447" t="s">
        <v>149</v>
      </c>
      <c r="C905" s="369" t="s">
        <v>26</v>
      </c>
      <c r="D905" s="439"/>
      <c r="E905" s="440" t="s">
        <v>123</v>
      </c>
      <c r="F905" s="440" t="s">
        <v>121</v>
      </c>
      <c r="G905" s="440" t="s">
        <v>188</v>
      </c>
    </row>
    <row r="906" spans="2:7" x14ac:dyDescent="0.35">
      <c r="B906" s="447" t="s">
        <v>161</v>
      </c>
      <c r="C906" s="369" t="s">
        <v>26</v>
      </c>
      <c r="D906" s="439"/>
      <c r="E906" s="440" t="s">
        <v>123</v>
      </c>
      <c r="F906" s="440" t="s">
        <v>121</v>
      </c>
      <c r="G906" s="440" t="s">
        <v>188</v>
      </c>
    </row>
    <row r="907" spans="2:7" x14ac:dyDescent="0.35">
      <c r="B907" s="450" t="s">
        <v>75</v>
      </c>
      <c r="C907" s="369" t="s">
        <v>26</v>
      </c>
      <c r="D907" s="439"/>
      <c r="E907" s="440" t="s">
        <v>123</v>
      </c>
      <c r="F907" s="440" t="s">
        <v>121</v>
      </c>
      <c r="G907" s="440" t="s">
        <v>188</v>
      </c>
    </row>
    <row r="908" spans="2:7" x14ac:dyDescent="0.35">
      <c r="B908" s="447" t="s">
        <v>76</v>
      </c>
      <c r="C908" s="369" t="s">
        <v>26</v>
      </c>
      <c r="D908" s="439">
        <v>3.5049999999999999</v>
      </c>
      <c r="E908" s="440" t="s">
        <v>123</v>
      </c>
      <c r="F908" s="440" t="s">
        <v>121</v>
      </c>
      <c r="G908" s="440" t="s">
        <v>188</v>
      </c>
    </row>
    <row r="909" spans="2:7" ht="28.5" x14ac:dyDescent="0.35">
      <c r="B909" s="226" t="s">
        <v>101</v>
      </c>
      <c r="C909" s="227"/>
      <c r="D909" s="441">
        <v>17090.911403842125</v>
      </c>
      <c r="E909" s="440" t="s">
        <v>99</v>
      </c>
      <c r="F909" s="440" t="s">
        <v>121</v>
      </c>
      <c r="G909" s="440" t="s">
        <v>188</v>
      </c>
    </row>
    <row r="910" spans="2:7" ht="56.5" x14ac:dyDescent="0.35">
      <c r="B910" s="118" t="s">
        <v>189</v>
      </c>
      <c r="C910" s="106" t="s">
        <v>30</v>
      </c>
      <c r="D910" s="439">
        <v>136262.23141856518</v>
      </c>
      <c r="E910" s="440" t="s">
        <v>99</v>
      </c>
      <c r="F910" s="440" t="s">
        <v>121</v>
      </c>
      <c r="G910" s="440" t="s">
        <v>188</v>
      </c>
    </row>
    <row r="911" spans="2:7" x14ac:dyDescent="0.35">
      <c r="B911" s="118" t="s">
        <v>190</v>
      </c>
      <c r="C911" s="106" t="s">
        <v>7</v>
      </c>
      <c r="D911" s="439">
        <v>192693.34</v>
      </c>
      <c r="E911" s="440" t="s">
        <v>99</v>
      </c>
      <c r="F911" s="440" t="s">
        <v>121</v>
      </c>
      <c r="G911" s="440" t="s">
        <v>188</v>
      </c>
    </row>
    <row r="912" spans="2:7" ht="56.5" x14ac:dyDescent="0.35">
      <c r="B912" s="118" t="s">
        <v>191</v>
      </c>
      <c r="C912" s="106" t="s">
        <v>30</v>
      </c>
      <c r="D912" s="439">
        <v>174978.31</v>
      </c>
      <c r="E912" s="440" t="s">
        <v>99</v>
      </c>
      <c r="F912" s="440" t="s">
        <v>121</v>
      </c>
      <c r="G912" s="440" t="s">
        <v>188</v>
      </c>
    </row>
    <row r="913" spans="2:7" x14ac:dyDescent="0.35">
      <c r="B913" s="118" t="s">
        <v>192</v>
      </c>
      <c r="C913" s="106" t="s">
        <v>7</v>
      </c>
      <c r="D913" s="439">
        <v>219866.084</v>
      </c>
      <c r="E913" s="440" t="s">
        <v>99</v>
      </c>
      <c r="F913" s="440" t="s">
        <v>121</v>
      </c>
      <c r="G913" s="440" t="s">
        <v>188</v>
      </c>
    </row>
    <row r="914" spans="2:7" ht="28.5" x14ac:dyDescent="0.35">
      <c r="B914" s="226" t="s">
        <v>101</v>
      </c>
      <c r="C914" s="227"/>
      <c r="D914" s="441">
        <v>25888.358627840542</v>
      </c>
      <c r="E914" s="440" t="s">
        <v>122</v>
      </c>
      <c r="F914" s="440" t="s">
        <v>121</v>
      </c>
      <c r="G914" s="440" t="s">
        <v>188</v>
      </c>
    </row>
    <row r="915" spans="2:7" ht="56.5" x14ac:dyDescent="0.35">
      <c r="B915" s="118" t="s">
        <v>189</v>
      </c>
      <c r="C915" s="106" t="s">
        <v>30</v>
      </c>
      <c r="D915" s="439">
        <v>35435.492109082719</v>
      </c>
      <c r="E915" s="440" t="s">
        <v>122</v>
      </c>
      <c r="F915" s="440" t="s">
        <v>121</v>
      </c>
      <c r="G915" s="440" t="s">
        <v>188</v>
      </c>
    </row>
    <row r="916" spans="2:7" x14ac:dyDescent="0.35">
      <c r="B916" s="118" t="s">
        <v>190</v>
      </c>
      <c r="C916" s="106" t="s">
        <v>7</v>
      </c>
      <c r="D916" s="439">
        <v>84976.39</v>
      </c>
      <c r="E916" s="440" t="s">
        <v>122</v>
      </c>
      <c r="F916" s="440" t="s">
        <v>121</v>
      </c>
      <c r="G916" s="440" t="s">
        <v>188</v>
      </c>
    </row>
    <row r="917" spans="2:7" ht="56.5" x14ac:dyDescent="0.35">
      <c r="B917" s="118" t="s">
        <v>191</v>
      </c>
      <c r="C917" s="106" t="s">
        <v>30</v>
      </c>
      <c r="D917" s="439">
        <v>62017.01</v>
      </c>
      <c r="E917" s="440" t="s">
        <v>122</v>
      </c>
      <c r="F917" s="440" t="s">
        <v>121</v>
      </c>
      <c r="G917" s="440" t="s">
        <v>188</v>
      </c>
    </row>
    <row r="918" spans="2:7" x14ac:dyDescent="0.35">
      <c r="B918" s="118" t="s">
        <v>192</v>
      </c>
      <c r="C918" s="106" t="s">
        <v>7</v>
      </c>
      <c r="D918" s="439">
        <v>85936.9</v>
      </c>
      <c r="E918" s="440" t="s">
        <v>122</v>
      </c>
      <c r="F918" s="440" t="s">
        <v>121</v>
      </c>
      <c r="G918" s="440" t="s">
        <v>188</v>
      </c>
    </row>
    <row r="919" spans="2:7" ht="28.5" x14ac:dyDescent="0.35">
      <c r="B919" s="226" t="s">
        <v>101</v>
      </c>
      <c r="C919" s="227"/>
      <c r="D919" s="441">
        <v>4997.5509385476116</v>
      </c>
      <c r="E919" s="440" t="s">
        <v>123</v>
      </c>
      <c r="F919" s="440" t="s">
        <v>121</v>
      </c>
      <c r="G919" s="440" t="s">
        <v>188</v>
      </c>
    </row>
    <row r="920" spans="2:7" ht="56.5" x14ac:dyDescent="0.35">
      <c r="B920" s="118" t="s">
        <v>189</v>
      </c>
      <c r="C920" s="106" t="s">
        <v>30</v>
      </c>
      <c r="D920" s="439">
        <v>46839.416472352059</v>
      </c>
      <c r="E920" s="440" t="s">
        <v>123</v>
      </c>
      <c r="F920" s="440" t="s">
        <v>121</v>
      </c>
      <c r="G920" s="440" t="s">
        <v>188</v>
      </c>
    </row>
    <row r="921" spans="2:7" x14ac:dyDescent="0.35">
      <c r="B921" s="118" t="s">
        <v>190</v>
      </c>
      <c r="C921" s="106" t="s">
        <v>7</v>
      </c>
      <c r="D921" s="439">
        <v>57790.92</v>
      </c>
      <c r="E921" s="440" t="s">
        <v>123</v>
      </c>
      <c r="F921" s="440" t="s">
        <v>121</v>
      </c>
      <c r="G921" s="440" t="s">
        <v>188</v>
      </c>
    </row>
    <row r="922" spans="2:7" ht="56.5" x14ac:dyDescent="0.35">
      <c r="B922" s="118" t="s">
        <v>191</v>
      </c>
      <c r="C922" s="106" t="s">
        <v>30</v>
      </c>
      <c r="D922" s="439">
        <v>52895.11</v>
      </c>
      <c r="E922" s="440" t="s">
        <v>123</v>
      </c>
      <c r="F922" s="440" t="s">
        <v>121</v>
      </c>
      <c r="G922" s="440" t="s">
        <v>188</v>
      </c>
    </row>
    <row r="923" spans="2:7" x14ac:dyDescent="0.35">
      <c r="B923" s="118" t="s">
        <v>192</v>
      </c>
      <c r="C923" s="106" t="s">
        <v>7</v>
      </c>
      <c r="D923" s="439">
        <v>58970.6</v>
      </c>
      <c r="E923" s="440" t="s">
        <v>123</v>
      </c>
      <c r="F923" s="440" t="s">
        <v>121</v>
      </c>
      <c r="G923" s="440" t="s">
        <v>188</v>
      </c>
    </row>
  </sheetData>
  <mergeCells count="7">
    <mergeCell ref="C818:C820"/>
    <mergeCell ref="C825:C827"/>
    <mergeCell ref="B1:G2"/>
    <mergeCell ref="C636:C637"/>
    <mergeCell ref="C641:C642"/>
    <mergeCell ref="C646:C647"/>
    <mergeCell ref="C811:C813"/>
  </mergeCells>
  <phoneticPr fontId="18"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C6BDB-BB19-42DD-88DB-466036653625}">
  <dimension ref="B2:BV13"/>
  <sheetViews>
    <sheetView topLeftCell="N1" workbookViewId="0">
      <selection activeCell="C13" sqref="C13:BV13"/>
    </sheetView>
  </sheetViews>
  <sheetFormatPr defaultColWidth="9.1796875" defaultRowHeight="14.5" x14ac:dyDescent="0.35"/>
  <cols>
    <col min="1" max="1" width="3.7265625" style="91" customWidth="1"/>
    <col min="2" max="2" width="36.26953125" style="91" bestFit="1" customWidth="1"/>
    <col min="3" max="74" width="14.7265625" style="91" customWidth="1"/>
    <col min="75" max="16384" width="9.1796875" style="91"/>
  </cols>
  <sheetData>
    <row r="2" spans="2:74" ht="21" x14ac:dyDescent="0.55000000000000004">
      <c r="B2" s="539" t="s">
        <v>89</v>
      </c>
      <c r="C2" s="539"/>
      <c r="D2" s="540"/>
      <c r="E2" s="540"/>
      <c r="F2" s="540"/>
      <c r="G2" s="540"/>
      <c r="H2" s="540"/>
      <c r="I2" s="540"/>
      <c r="J2" s="539"/>
      <c r="K2" s="539"/>
      <c r="L2" s="539"/>
      <c r="M2" s="539"/>
      <c r="N2" s="539"/>
      <c r="O2" s="539"/>
      <c r="P2" s="539"/>
      <c r="Q2" s="539"/>
      <c r="R2" s="539"/>
      <c r="S2" s="539"/>
      <c r="T2" s="539"/>
      <c r="U2" s="539"/>
      <c r="V2" s="539"/>
      <c r="W2" s="539"/>
      <c r="X2" s="539"/>
      <c r="Y2" s="539"/>
      <c r="Z2" s="539"/>
      <c r="AA2" s="539"/>
      <c r="AB2" s="539"/>
      <c r="AC2" s="539"/>
      <c r="AD2" s="539"/>
      <c r="AE2" s="539"/>
      <c r="AF2" s="539"/>
      <c r="AG2" s="539"/>
      <c r="AH2" s="539"/>
      <c r="AI2" s="539"/>
      <c r="AJ2" s="539"/>
      <c r="AK2" s="539"/>
      <c r="AL2" s="539"/>
      <c r="AM2" s="539"/>
      <c r="AN2" s="539"/>
      <c r="AO2" s="539"/>
      <c r="AP2" s="539"/>
      <c r="AQ2" s="539"/>
      <c r="AR2" s="539"/>
      <c r="AS2" s="539"/>
      <c r="AT2" s="539"/>
      <c r="AU2" s="539"/>
      <c r="AV2" s="539"/>
      <c r="AW2" s="539"/>
      <c r="AX2" s="539"/>
      <c r="AY2" s="539"/>
      <c r="AZ2" s="539"/>
      <c r="BA2" s="539"/>
      <c r="BB2" s="539"/>
      <c r="BC2" s="539"/>
      <c r="BD2" s="539"/>
      <c r="BE2" s="539"/>
      <c r="BF2" s="539"/>
      <c r="BG2" s="539"/>
      <c r="BH2" s="539"/>
      <c r="BI2" s="539"/>
      <c r="BJ2" s="539"/>
      <c r="BK2" s="539"/>
      <c r="BL2" s="539"/>
      <c r="BM2" s="539"/>
      <c r="BN2" s="539"/>
      <c r="BO2" s="539"/>
      <c r="BP2" s="539"/>
      <c r="BQ2" s="539"/>
      <c r="BR2" s="539"/>
      <c r="BS2" s="539"/>
      <c r="BT2" s="539"/>
      <c r="BU2" s="539"/>
      <c r="BV2" s="539"/>
    </row>
    <row r="3" spans="2:74" ht="16.5" x14ac:dyDescent="0.45">
      <c r="B3" s="541" t="str">
        <f ca="1">_xll.PALO.CUBE($B$2,"PnL_")</f>
        <v xml:space="preserve">	6c831955d157d6e1b99e2a73d8f55090091c67e8</v>
      </c>
      <c r="C3" s="541"/>
      <c r="D3" s="542"/>
      <c r="E3" s="542"/>
      <c r="F3" s="543"/>
      <c r="G3" s="543"/>
      <c r="H3" s="542"/>
      <c r="I3" s="542"/>
      <c r="J3" s="541"/>
      <c r="K3" s="541"/>
      <c r="L3" s="541"/>
      <c r="M3" s="541"/>
      <c r="N3" s="541"/>
      <c r="O3" s="541"/>
      <c r="P3" s="541"/>
      <c r="Q3" s="541"/>
      <c r="R3" s="541"/>
      <c r="S3" s="541"/>
      <c r="T3" s="541"/>
      <c r="U3" s="541"/>
      <c r="V3" s="541"/>
      <c r="W3" s="541"/>
      <c r="X3" s="541"/>
      <c r="Y3" s="541"/>
      <c r="Z3" s="541"/>
      <c r="AA3" s="541"/>
      <c r="AB3" s="541"/>
      <c r="AC3" s="541"/>
      <c r="AD3" s="541"/>
      <c r="AE3" s="541"/>
      <c r="AF3" s="541"/>
      <c r="AG3" s="541"/>
      <c r="AH3" s="541"/>
      <c r="AI3" s="541"/>
      <c r="AJ3" s="541"/>
      <c r="AK3" s="541"/>
      <c r="AL3" s="541"/>
      <c r="AM3" s="541"/>
      <c r="AN3" s="541"/>
      <c r="AO3" s="541"/>
      <c r="AP3" s="541"/>
      <c r="AQ3" s="541"/>
      <c r="AR3" s="541"/>
      <c r="AS3" s="541"/>
      <c r="AT3" s="541"/>
      <c r="AU3" s="541"/>
      <c r="AV3" s="541"/>
      <c r="AW3" s="541"/>
      <c r="AX3" s="541"/>
      <c r="AY3" s="541"/>
      <c r="AZ3" s="541"/>
      <c r="BA3" s="541"/>
      <c r="BB3" s="541"/>
      <c r="BC3" s="541"/>
      <c r="BD3" s="541"/>
      <c r="BE3" s="541"/>
      <c r="BF3" s="541"/>
      <c r="BG3" s="541"/>
      <c r="BH3" s="541"/>
      <c r="BI3" s="541"/>
      <c r="BJ3" s="541"/>
      <c r="BK3" s="541"/>
      <c r="BL3" s="541"/>
      <c r="BM3" s="541"/>
      <c r="BN3" s="541"/>
      <c r="BO3" s="541"/>
      <c r="BP3" s="541"/>
      <c r="BQ3" s="541"/>
      <c r="BR3" s="541"/>
      <c r="BS3" s="541"/>
      <c r="BT3" s="541"/>
      <c r="BU3" s="541"/>
      <c r="BV3" s="541"/>
    </row>
    <row r="4" spans="2:74" ht="7.5" customHeight="1" x14ac:dyDescent="0.45">
      <c r="B4" s="241" t="s">
        <v>90</v>
      </c>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1"/>
      <c r="AR4" s="241"/>
      <c r="AS4" s="241"/>
      <c r="AT4" s="241"/>
      <c r="AU4" s="241"/>
      <c r="AV4" s="241"/>
      <c r="AW4" s="241"/>
      <c r="AX4" s="241"/>
      <c r="AY4" s="241"/>
      <c r="AZ4" s="241"/>
      <c r="BA4" s="241"/>
      <c r="BB4" s="241"/>
      <c r="BC4" s="241"/>
      <c r="BD4" s="241"/>
      <c r="BE4" s="241"/>
      <c r="BF4" s="241"/>
      <c r="BG4" s="241"/>
      <c r="BH4" s="241"/>
      <c r="BI4" s="241"/>
      <c r="BJ4" s="241"/>
      <c r="BK4" s="241"/>
      <c r="BL4" s="241"/>
      <c r="BM4" s="241"/>
      <c r="BN4" s="241"/>
      <c r="BO4" s="241"/>
      <c r="BP4" s="241"/>
      <c r="BQ4" s="241"/>
      <c r="BR4" s="241"/>
      <c r="BS4" s="241"/>
      <c r="BT4" s="241"/>
      <c r="BU4" s="241"/>
      <c r="BV4" s="241"/>
    </row>
    <row r="5" spans="2:74" ht="22.5" customHeight="1" x14ac:dyDescent="0.45">
      <c r="B5" s="237" t="s">
        <v>91</v>
      </c>
      <c r="C5" s="239"/>
      <c r="D5" s="239"/>
      <c r="E5" s="239"/>
      <c r="F5" s="239"/>
      <c r="G5" s="239"/>
      <c r="H5" s="239"/>
    </row>
    <row r="6" spans="2:74" ht="16" x14ac:dyDescent="0.45">
      <c r="B6" s="238"/>
      <c r="C6" s="248" t="str">
        <f ca="1">_xll.PALO.ENAME($B$2,$B$3,2,0,0)</f>
        <v>2019-03</v>
      </c>
      <c r="D6" s="249" t="str">
        <f ca="1">_xll.PALO.ENAME($B$2,$B$3,2,0,1)</f>
        <v>2019-03</v>
      </c>
      <c r="E6" s="249" t="str">
        <f ca="1">_xll.PALO.ENAME($B$2,$B$3,2,0,2)</f>
        <v>2019-03</v>
      </c>
      <c r="F6" s="249" t="str">
        <f ca="1">_xll.PALO.ENAME($B$2,$B$3,2,0,3)</f>
        <v>2019-03</v>
      </c>
      <c r="G6" s="249" t="str">
        <f ca="1">_xll.PALO.ENAME($B$2,$B$3,2,0,4)</f>
        <v>2019-03</v>
      </c>
      <c r="H6" s="249" t="str">
        <f ca="1">_xll.PALO.ENAME($B$2,$B$3,2,0,5)</f>
        <v>2019-03</v>
      </c>
      <c r="I6" s="248" t="str">
        <f ca="1">_xll.PALO.ENAME($B$2,$B$3,2,0,6)</f>
        <v>2019-04</v>
      </c>
      <c r="J6" s="249" t="str">
        <f ca="1">_xll.PALO.ENAME($B$2,$B$3,2,0,7)</f>
        <v>2019-04</v>
      </c>
      <c r="K6" s="249" t="str">
        <f ca="1">_xll.PALO.ENAME($B$2,$B$3,2,0,8)</f>
        <v>2019-04</v>
      </c>
      <c r="L6" s="249" t="str">
        <f ca="1">_xll.PALO.ENAME($B$2,$B$3,2,0,9)</f>
        <v>2019-04</v>
      </c>
      <c r="M6" s="249" t="str">
        <f ca="1">_xll.PALO.ENAME($B$2,$B$3,2,0,10)</f>
        <v>2019-04</v>
      </c>
      <c r="N6" s="249" t="str">
        <f ca="1">_xll.PALO.ENAME($B$2,$B$3,2,0,11)</f>
        <v>2019-04</v>
      </c>
      <c r="O6" s="248" t="str">
        <f ca="1">_xll.PALO.ENAME($B$2,$B$3,2,0,12)</f>
        <v>2019-05</v>
      </c>
      <c r="P6" s="249" t="str">
        <f ca="1">_xll.PALO.ENAME($B$2,$B$3,2,0,13)</f>
        <v>2019-05</v>
      </c>
      <c r="Q6" s="249" t="str">
        <f ca="1">_xll.PALO.ENAME($B$2,$B$3,2,0,14)</f>
        <v>2019-05</v>
      </c>
      <c r="R6" s="249" t="str">
        <f ca="1">_xll.PALO.ENAME($B$2,$B$3,2,0,15)</f>
        <v>2019-05</v>
      </c>
      <c r="S6" s="249" t="str">
        <f ca="1">_xll.PALO.ENAME($B$2,$B$3,2,0,16)</f>
        <v>2019-05</v>
      </c>
      <c r="T6" s="249" t="str">
        <f ca="1">_xll.PALO.ENAME($B$2,$B$3,2,0,17)</f>
        <v>2019-05</v>
      </c>
      <c r="U6" s="248" t="str">
        <f ca="1">_xll.PALO.ENAME($B$2,$B$3,2,0,18)</f>
        <v>2019-06</v>
      </c>
      <c r="V6" s="249" t="str">
        <f ca="1">_xll.PALO.ENAME($B$2,$B$3,2,0,19)</f>
        <v>2019-06</v>
      </c>
      <c r="W6" s="249" t="str">
        <f ca="1">_xll.PALO.ENAME($B$2,$B$3,2,0,20)</f>
        <v>2019-06</v>
      </c>
      <c r="X6" s="249" t="str">
        <f ca="1">_xll.PALO.ENAME($B$2,$B$3,2,0,21)</f>
        <v>2019-06</v>
      </c>
      <c r="Y6" s="249" t="str">
        <f ca="1">_xll.PALO.ENAME($B$2,$B$3,2,0,22)</f>
        <v>2019-06</v>
      </c>
      <c r="Z6" s="249" t="str">
        <f ca="1">_xll.PALO.ENAME($B$2,$B$3,2,0,23)</f>
        <v>2019-06</v>
      </c>
      <c r="AA6" s="248" t="str">
        <f ca="1">_xll.PALO.ENAME($B$2,$B$3,2,0,24)</f>
        <v>2020-03</v>
      </c>
      <c r="AB6" s="249" t="str">
        <f ca="1">_xll.PALO.ENAME($B$2,$B$3,2,0,25)</f>
        <v>2020-03</v>
      </c>
      <c r="AC6" s="249" t="str">
        <f ca="1">_xll.PALO.ENAME($B$2,$B$3,2,0,26)</f>
        <v>2020-03</v>
      </c>
      <c r="AD6" s="249" t="str">
        <f ca="1">_xll.PALO.ENAME($B$2,$B$3,2,0,27)</f>
        <v>2020-03</v>
      </c>
      <c r="AE6" s="249" t="str">
        <f ca="1">_xll.PALO.ENAME($B$2,$B$3,2,0,28)</f>
        <v>2020-03</v>
      </c>
      <c r="AF6" s="249" t="str">
        <f ca="1">_xll.PALO.ENAME($B$2,$B$3,2,0,29)</f>
        <v>2020-03</v>
      </c>
      <c r="AG6" s="248" t="str">
        <f ca="1">_xll.PALO.ENAME($B$2,$B$3,2,0,30)</f>
        <v>2020-04</v>
      </c>
      <c r="AH6" s="249" t="str">
        <f ca="1">_xll.PALO.ENAME($B$2,$B$3,2,0,31)</f>
        <v>2020-04</v>
      </c>
      <c r="AI6" s="249" t="str">
        <f ca="1">_xll.PALO.ENAME($B$2,$B$3,2,0,32)</f>
        <v>2020-04</v>
      </c>
      <c r="AJ6" s="249" t="str">
        <f ca="1">_xll.PALO.ENAME($B$2,$B$3,2,0,33)</f>
        <v>2020-04</v>
      </c>
      <c r="AK6" s="249" t="str">
        <f ca="1">_xll.PALO.ENAME($B$2,$B$3,2,0,34)</f>
        <v>2020-04</v>
      </c>
      <c r="AL6" s="249" t="str">
        <f ca="1">_xll.PALO.ENAME($B$2,$B$3,2,0,35)</f>
        <v>2020-04</v>
      </c>
      <c r="AM6" s="248" t="str">
        <f ca="1">_xll.PALO.ENAME($B$2,$B$3,2,0,36)</f>
        <v>2020-05</v>
      </c>
      <c r="AN6" s="249" t="str">
        <f ca="1">_xll.PALO.ENAME($B$2,$B$3,2,0,37)</f>
        <v>2020-05</v>
      </c>
      <c r="AO6" s="249" t="str">
        <f ca="1">_xll.PALO.ENAME($B$2,$B$3,2,0,38)</f>
        <v>2020-05</v>
      </c>
      <c r="AP6" s="249" t="str">
        <f ca="1">_xll.PALO.ENAME($B$2,$B$3,2,0,39)</f>
        <v>2020-05</v>
      </c>
      <c r="AQ6" s="249" t="str">
        <f ca="1">_xll.PALO.ENAME($B$2,$B$3,2,0,40)</f>
        <v>2020-05</v>
      </c>
      <c r="AR6" s="249" t="str">
        <f ca="1">_xll.PALO.ENAME($B$2,$B$3,2,0,41)</f>
        <v>2020-05</v>
      </c>
      <c r="AS6" s="248" t="str">
        <f ca="1">_xll.PALO.ENAME($B$2,$B$3,2,0,42)</f>
        <v>2020-06</v>
      </c>
      <c r="AT6" s="249" t="str">
        <f ca="1">_xll.PALO.ENAME($B$2,$B$3,2,0,43)</f>
        <v>2020-06</v>
      </c>
      <c r="AU6" s="249" t="str">
        <f ca="1">_xll.PALO.ENAME($B$2,$B$3,2,0,44)</f>
        <v>2020-06</v>
      </c>
      <c r="AV6" s="249" t="str">
        <f ca="1">_xll.PALO.ENAME($B$2,$B$3,2,0,45)</f>
        <v>2020-06</v>
      </c>
      <c r="AW6" s="249" t="str">
        <f ca="1">_xll.PALO.ENAME($B$2,$B$3,2,0,46)</f>
        <v>2020-06</v>
      </c>
      <c r="AX6" s="249" t="str">
        <f ca="1">_xll.PALO.ENAME($B$2,$B$3,2,0,47)</f>
        <v>2020-06</v>
      </c>
      <c r="AY6" s="248" t="str">
        <f ca="1">_xll.PALO.ENAME($B$2,$B$3,2,0,48)</f>
        <v>2021-03</v>
      </c>
      <c r="AZ6" s="249" t="str">
        <f ca="1">_xll.PALO.ENAME($B$2,$B$3,2,0,49)</f>
        <v>2021-03</v>
      </c>
      <c r="BA6" s="249" t="str">
        <f ca="1">_xll.PALO.ENAME($B$2,$B$3,2,0,50)</f>
        <v>2021-03</v>
      </c>
      <c r="BB6" s="249" t="str">
        <f ca="1">_xll.PALO.ENAME($B$2,$B$3,2,0,51)</f>
        <v>2021-03</v>
      </c>
      <c r="BC6" s="249" t="str">
        <f ca="1">_xll.PALO.ENAME($B$2,$B$3,2,0,52)</f>
        <v>2021-03</v>
      </c>
      <c r="BD6" s="249" t="str">
        <f ca="1">_xll.PALO.ENAME($B$2,$B$3,2,0,53)</f>
        <v>2021-03</v>
      </c>
      <c r="BE6" s="248" t="str">
        <f ca="1">_xll.PALO.ENAME($B$2,$B$3,2,0,54)</f>
        <v>2021-04</v>
      </c>
      <c r="BF6" s="249" t="str">
        <f ca="1">_xll.PALO.ENAME($B$2,$B$3,2,0,55)</f>
        <v>2021-04</v>
      </c>
      <c r="BG6" s="249" t="str">
        <f ca="1">_xll.PALO.ENAME($B$2,$B$3,2,0,56)</f>
        <v>2021-04</v>
      </c>
      <c r="BH6" s="249" t="str">
        <f ca="1">_xll.PALO.ENAME($B$2,$B$3,2,0,57)</f>
        <v>2021-04</v>
      </c>
      <c r="BI6" s="249" t="str">
        <f ca="1">_xll.PALO.ENAME($B$2,$B$3,2,0,58)</f>
        <v>2021-04</v>
      </c>
      <c r="BJ6" s="249" t="str">
        <f ca="1">_xll.PALO.ENAME($B$2,$B$3,2,0,59)</f>
        <v>2021-04</v>
      </c>
      <c r="BK6" s="248" t="str">
        <f ca="1">_xll.PALO.ENAME($B$2,$B$3,2,0,60)</f>
        <v>2021-05</v>
      </c>
      <c r="BL6" s="249" t="str">
        <f ca="1">_xll.PALO.ENAME($B$2,$B$3,2,0,61)</f>
        <v>2021-05</v>
      </c>
      <c r="BM6" s="249" t="str">
        <f ca="1">_xll.PALO.ENAME($B$2,$B$3,2,0,62)</f>
        <v>2021-05</v>
      </c>
      <c r="BN6" s="249" t="str">
        <f ca="1">_xll.PALO.ENAME($B$2,$B$3,2,0,63)</f>
        <v>2021-05</v>
      </c>
      <c r="BO6" s="249" t="str">
        <f ca="1">_xll.PALO.ENAME($B$2,$B$3,2,0,64)</f>
        <v>2021-05</v>
      </c>
      <c r="BP6" s="249" t="str">
        <f ca="1">_xll.PALO.ENAME($B$2,$B$3,2,0,65)</f>
        <v>2021-05</v>
      </c>
      <c r="BQ6" s="248" t="str">
        <f ca="1">_xll.PALO.ENAME($B$2,$B$3,2,0,66)</f>
        <v>2021-06</v>
      </c>
      <c r="BR6" s="249" t="str">
        <f ca="1">_xll.PALO.ENAME($B$2,$B$3,2,0,67)</f>
        <v>2021-06</v>
      </c>
      <c r="BS6" s="249" t="str">
        <f ca="1">_xll.PALO.ENAME($B$2,$B$3,2,0,68)</f>
        <v>2021-06</v>
      </c>
      <c r="BT6" s="249" t="str">
        <f ca="1">_xll.PALO.ENAME($B$2,$B$3,2,0,69)</f>
        <v>2021-06</v>
      </c>
      <c r="BU6" s="249" t="str">
        <f ca="1">_xll.PALO.ENAME($B$2,$B$3,2,0,70)</f>
        <v>2021-06</v>
      </c>
      <c r="BV6" s="249" t="str">
        <f ca="1">_xll.PALO.ENAME($B$2,$B$3,2,0,71)</f>
        <v>2021-06</v>
      </c>
    </row>
    <row r="7" spans="2:74" customFormat="1" ht="7.5" customHeight="1" x14ac:dyDescent="0.45">
      <c r="B7" s="240"/>
      <c r="C7" s="248" t="str">
        <f ca="1">_xll.PALO.ENAME($B$2,$B$3,2,1,0)</f>
        <v>Ieņēmumi</v>
      </c>
      <c r="D7" s="249" t="str">
        <f ca="1">_xll.PALO.ENAME($B$2,$B$3,2,1,1)</f>
        <v>Ieņēmumi</v>
      </c>
      <c r="E7" s="248" t="str">
        <f ca="1">_xll.PALO.ENAME($B$2,$B$3,2,1,2)</f>
        <v>Nobraukums maršrutu tīklā</v>
      </c>
      <c r="F7" s="249" t="str">
        <f ca="1">_xll.PALO.ENAME($B$2,$B$3,2,1,3)</f>
        <v>Nobraukums maršrutu tīklā</v>
      </c>
      <c r="G7" s="248" t="str">
        <f ca="1">_xll.PALO.ENAME($B$2,$B$3,2,1,4)</f>
        <v>Faktiskā viena kilometra pašizmaksa</v>
      </c>
      <c r="H7" s="249" t="str">
        <f ca="1">_xll.PALO.ENAME($B$2,$B$3,2,1,5)</f>
        <v>Faktiskā viena kilometra pašizmaksa</v>
      </c>
      <c r="I7" s="248" t="str">
        <f ca="1">_xll.PALO.ENAME($B$2,$B$3,2,1,6)</f>
        <v>Ieņēmumi</v>
      </c>
      <c r="J7" s="249" t="str">
        <f ca="1">_xll.PALO.ENAME($B$2,$B$3,2,1,7)</f>
        <v>Ieņēmumi</v>
      </c>
      <c r="K7" s="248" t="str">
        <f ca="1">_xll.PALO.ENAME($B$2,$B$3,2,1,8)</f>
        <v>Nobraukums maršrutu tīklā</v>
      </c>
      <c r="L7" s="249" t="str">
        <f ca="1">_xll.PALO.ENAME($B$2,$B$3,2,1,9)</f>
        <v>Nobraukums maršrutu tīklā</v>
      </c>
      <c r="M7" s="248" t="str">
        <f ca="1">_xll.PALO.ENAME($B$2,$B$3,2,1,10)</f>
        <v>Faktiskā viena kilometra pašizmaksa</v>
      </c>
      <c r="N7" s="249" t="str">
        <f ca="1">_xll.PALO.ENAME($B$2,$B$3,2,1,11)</f>
        <v>Faktiskā viena kilometra pašizmaksa</v>
      </c>
      <c r="O7" s="248" t="str">
        <f ca="1">_xll.PALO.ENAME($B$2,$B$3,2,1,12)</f>
        <v>Ieņēmumi</v>
      </c>
      <c r="P7" s="249" t="str">
        <f ca="1">_xll.PALO.ENAME($B$2,$B$3,2,1,13)</f>
        <v>Ieņēmumi</v>
      </c>
      <c r="Q7" s="248" t="str">
        <f ca="1">_xll.PALO.ENAME($B$2,$B$3,2,1,14)</f>
        <v>Nobraukums maršrutu tīklā</v>
      </c>
      <c r="R7" s="249" t="str">
        <f ca="1">_xll.PALO.ENAME($B$2,$B$3,2,1,15)</f>
        <v>Nobraukums maršrutu tīklā</v>
      </c>
      <c r="S7" s="248" t="str">
        <f ca="1">_xll.PALO.ENAME($B$2,$B$3,2,1,16)</f>
        <v>Faktiskā viena kilometra pašizmaksa</v>
      </c>
      <c r="T7" s="249" t="str">
        <f ca="1">_xll.PALO.ENAME($B$2,$B$3,2,1,17)</f>
        <v>Faktiskā viena kilometra pašizmaksa</v>
      </c>
      <c r="U7" s="248" t="str">
        <f ca="1">_xll.PALO.ENAME($B$2,$B$3,2,1,18)</f>
        <v>Ieņēmumi</v>
      </c>
      <c r="V7" s="249" t="str">
        <f ca="1">_xll.PALO.ENAME($B$2,$B$3,2,1,19)</f>
        <v>Ieņēmumi</v>
      </c>
      <c r="W7" s="248" t="str">
        <f ca="1">_xll.PALO.ENAME($B$2,$B$3,2,1,20)</f>
        <v>Nobraukums maršrutu tīklā</v>
      </c>
      <c r="X7" s="249" t="str">
        <f ca="1">_xll.PALO.ENAME($B$2,$B$3,2,1,21)</f>
        <v>Nobraukums maršrutu tīklā</v>
      </c>
      <c r="Y7" s="248" t="str">
        <f ca="1">_xll.PALO.ENAME($B$2,$B$3,2,1,22)</f>
        <v>Faktiskā viena kilometra pašizmaksa</v>
      </c>
      <c r="Z7" s="249" t="str">
        <f ca="1">_xll.PALO.ENAME($B$2,$B$3,2,1,23)</f>
        <v>Faktiskā viena kilometra pašizmaksa</v>
      </c>
      <c r="AA7" s="248" t="str">
        <f ca="1">_xll.PALO.ENAME($B$2,$B$3,2,1,24)</f>
        <v>Ieņēmumi</v>
      </c>
      <c r="AB7" s="249" t="str">
        <f ca="1">_xll.PALO.ENAME($B$2,$B$3,2,1,25)</f>
        <v>Ieņēmumi</v>
      </c>
      <c r="AC7" s="248" t="str">
        <f ca="1">_xll.PALO.ENAME($B$2,$B$3,2,1,26)</f>
        <v>Nobraukums maršrutu tīklā</v>
      </c>
      <c r="AD7" s="249" t="str">
        <f ca="1">_xll.PALO.ENAME($B$2,$B$3,2,1,27)</f>
        <v>Nobraukums maršrutu tīklā</v>
      </c>
      <c r="AE7" s="248" t="str">
        <f ca="1">_xll.PALO.ENAME($B$2,$B$3,2,1,28)</f>
        <v>Faktiskā viena kilometra pašizmaksa</v>
      </c>
      <c r="AF7" s="249" t="str">
        <f ca="1">_xll.PALO.ENAME($B$2,$B$3,2,1,29)</f>
        <v>Faktiskā viena kilometra pašizmaksa</v>
      </c>
      <c r="AG7" s="248" t="str">
        <f ca="1">_xll.PALO.ENAME($B$2,$B$3,2,1,30)</f>
        <v>Ieņēmumi</v>
      </c>
      <c r="AH7" s="249" t="str">
        <f ca="1">_xll.PALO.ENAME($B$2,$B$3,2,1,31)</f>
        <v>Ieņēmumi</v>
      </c>
      <c r="AI7" s="248" t="str">
        <f ca="1">_xll.PALO.ENAME($B$2,$B$3,2,1,32)</f>
        <v>Nobraukums maršrutu tīklā</v>
      </c>
      <c r="AJ7" s="249" t="str">
        <f ca="1">_xll.PALO.ENAME($B$2,$B$3,2,1,33)</f>
        <v>Nobraukums maršrutu tīklā</v>
      </c>
      <c r="AK7" s="248" t="str">
        <f ca="1">_xll.PALO.ENAME($B$2,$B$3,2,1,34)</f>
        <v>Faktiskā viena kilometra pašizmaksa</v>
      </c>
      <c r="AL7" s="249" t="str">
        <f ca="1">_xll.PALO.ENAME($B$2,$B$3,2,1,35)</f>
        <v>Faktiskā viena kilometra pašizmaksa</v>
      </c>
      <c r="AM7" s="248" t="str">
        <f ca="1">_xll.PALO.ENAME($B$2,$B$3,2,1,36)</f>
        <v>Ieņēmumi</v>
      </c>
      <c r="AN7" s="249" t="str">
        <f ca="1">_xll.PALO.ENAME($B$2,$B$3,2,1,37)</f>
        <v>Ieņēmumi</v>
      </c>
      <c r="AO7" s="248" t="str">
        <f ca="1">_xll.PALO.ENAME($B$2,$B$3,2,1,38)</f>
        <v>Nobraukums maršrutu tīklā</v>
      </c>
      <c r="AP7" s="249" t="str">
        <f ca="1">_xll.PALO.ENAME($B$2,$B$3,2,1,39)</f>
        <v>Nobraukums maršrutu tīklā</v>
      </c>
      <c r="AQ7" s="248" t="str">
        <f ca="1">_xll.PALO.ENAME($B$2,$B$3,2,1,40)</f>
        <v>Faktiskā viena kilometra pašizmaksa</v>
      </c>
      <c r="AR7" s="249" t="str">
        <f ca="1">_xll.PALO.ENAME($B$2,$B$3,2,1,41)</f>
        <v>Faktiskā viena kilometra pašizmaksa</v>
      </c>
      <c r="AS7" s="248" t="str">
        <f ca="1">_xll.PALO.ENAME($B$2,$B$3,2,1,42)</f>
        <v>Ieņēmumi</v>
      </c>
      <c r="AT7" s="249" t="str">
        <f ca="1">_xll.PALO.ENAME($B$2,$B$3,2,1,43)</f>
        <v>Ieņēmumi</v>
      </c>
      <c r="AU7" s="248" t="str">
        <f ca="1">_xll.PALO.ENAME($B$2,$B$3,2,1,44)</f>
        <v>Nobraukums maršrutu tīklā</v>
      </c>
      <c r="AV7" s="249" t="str">
        <f ca="1">_xll.PALO.ENAME($B$2,$B$3,2,1,45)</f>
        <v>Nobraukums maršrutu tīklā</v>
      </c>
      <c r="AW7" s="248" t="str">
        <f ca="1">_xll.PALO.ENAME($B$2,$B$3,2,1,46)</f>
        <v>Faktiskā viena kilometra pašizmaksa</v>
      </c>
      <c r="AX7" s="249" t="str">
        <f ca="1">_xll.PALO.ENAME($B$2,$B$3,2,1,47)</f>
        <v>Faktiskā viena kilometra pašizmaksa</v>
      </c>
      <c r="AY7" s="248" t="str">
        <f ca="1">_xll.PALO.ENAME($B$2,$B$3,2,1,48)</f>
        <v>Ieņēmumi</v>
      </c>
      <c r="AZ7" s="249" t="str">
        <f ca="1">_xll.PALO.ENAME($B$2,$B$3,2,1,49)</f>
        <v>Ieņēmumi</v>
      </c>
      <c r="BA7" s="248" t="str">
        <f ca="1">_xll.PALO.ENAME($B$2,$B$3,2,1,50)</f>
        <v>Nobraukums maršrutu tīklā</v>
      </c>
      <c r="BB7" s="249" t="str">
        <f ca="1">_xll.PALO.ENAME($B$2,$B$3,2,1,51)</f>
        <v>Nobraukums maršrutu tīklā</v>
      </c>
      <c r="BC7" s="248" t="str">
        <f ca="1">_xll.PALO.ENAME($B$2,$B$3,2,1,52)</f>
        <v>Faktiskā viena kilometra pašizmaksa</v>
      </c>
      <c r="BD7" s="249" t="str">
        <f ca="1">_xll.PALO.ENAME($B$2,$B$3,2,1,53)</f>
        <v>Faktiskā viena kilometra pašizmaksa</v>
      </c>
      <c r="BE7" s="248" t="str">
        <f ca="1">_xll.PALO.ENAME($B$2,$B$3,2,1,54)</f>
        <v>Ieņēmumi</v>
      </c>
      <c r="BF7" s="249" t="str">
        <f ca="1">_xll.PALO.ENAME($B$2,$B$3,2,1,55)</f>
        <v>Ieņēmumi</v>
      </c>
      <c r="BG7" s="248" t="str">
        <f ca="1">_xll.PALO.ENAME($B$2,$B$3,2,1,56)</f>
        <v>Nobraukums maršrutu tīklā</v>
      </c>
      <c r="BH7" s="249" t="str">
        <f ca="1">_xll.PALO.ENAME($B$2,$B$3,2,1,57)</f>
        <v>Nobraukums maršrutu tīklā</v>
      </c>
      <c r="BI7" s="248" t="str">
        <f ca="1">_xll.PALO.ENAME($B$2,$B$3,2,1,58)</f>
        <v>Faktiskā viena kilometra pašizmaksa</v>
      </c>
      <c r="BJ7" s="249" t="str">
        <f ca="1">_xll.PALO.ENAME($B$2,$B$3,2,1,59)</f>
        <v>Faktiskā viena kilometra pašizmaksa</v>
      </c>
      <c r="BK7" s="248" t="str">
        <f ca="1">_xll.PALO.ENAME($B$2,$B$3,2,1,60)</f>
        <v>Ieņēmumi</v>
      </c>
      <c r="BL7" s="249" t="str">
        <f ca="1">_xll.PALO.ENAME($B$2,$B$3,2,1,61)</f>
        <v>Ieņēmumi</v>
      </c>
      <c r="BM7" s="248" t="str">
        <f ca="1">_xll.PALO.ENAME($B$2,$B$3,2,1,62)</f>
        <v>Nobraukums maršrutu tīklā</v>
      </c>
      <c r="BN7" s="249" t="str">
        <f ca="1">_xll.PALO.ENAME($B$2,$B$3,2,1,63)</f>
        <v>Nobraukums maršrutu tīklā</v>
      </c>
      <c r="BO7" s="248" t="str">
        <f ca="1">_xll.PALO.ENAME($B$2,$B$3,2,1,64)</f>
        <v>Faktiskā viena kilometra pašizmaksa</v>
      </c>
      <c r="BP7" s="249" t="str">
        <f ca="1">_xll.PALO.ENAME($B$2,$B$3,2,1,65)</f>
        <v>Faktiskā viena kilometra pašizmaksa</v>
      </c>
      <c r="BQ7" s="248" t="str">
        <f ca="1">_xll.PALO.ENAME($B$2,$B$3,2,1,66)</f>
        <v>Ieņēmumi</v>
      </c>
      <c r="BR7" s="249" t="str">
        <f ca="1">_xll.PALO.ENAME($B$2,$B$3,2,1,67)</f>
        <v>Ieņēmumi</v>
      </c>
      <c r="BS7" s="248" t="str">
        <f ca="1">_xll.PALO.ENAME($B$2,$B$3,2,1,68)</f>
        <v>Nobraukums maršrutu tīklā</v>
      </c>
      <c r="BT7" s="249" t="str">
        <f ca="1">_xll.PALO.ENAME($B$2,$B$3,2,1,69)</f>
        <v>Nobraukums maršrutu tīklā</v>
      </c>
      <c r="BU7" s="248" t="str">
        <f ca="1">_xll.PALO.ENAME($B$2,$B$3,2,1,70)</f>
        <v>Faktiskā viena kilometra pašizmaksa</v>
      </c>
      <c r="BV7" s="249" t="str">
        <f ca="1">_xll.PALO.ENAME($B$2,$B$3,2,1,71)</f>
        <v>Faktiskā viena kilometra pašizmaksa</v>
      </c>
    </row>
    <row r="8" spans="2:74" customFormat="1" ht="7.5" customHeight="1" x14ac:dyDescent="0.45">
      <c r="C8" s="248" t="str">
        <f ca="1">_xll.PALO.ENAME($B$2,$B$3,2,2,0)</f>
        <v>Bus</v>
      </c>
      <c r="D8" s="248" t="str">
        <f ca="1">_xll.PALO.ENAME($B$2,$B$3,2,2,1)</f>
        <v>Tram</v>
      </c>
      <c r="E8" s="248" t="str">
        <f ca="1">_xll.PALO.ENAME($B$2,$B$3,2,2,2)</f>
        <v>Bus</v>
      </c>
      <c r="F8" s="248" t="str">
        <f ca="1">_xll.PALO.ENAME($B$2,$B$3,2,2,3)</f>
        <v>Tram</v>
      </c>
      <c r="G8" s="248" t="str">
        <f ca="1">_xll.PALO.ENAME($B$2,$B$3,2,2,4)</f>
        <v>Bus</v>
      </c>
      <c r="H8" s="248" t="str">
        <f ca="1">_xll.PALO.ENAME($B$2,$B$3,2,2,5)</f>
        <v>Tram</v>
      </c>
      <c r="I8" s="248" t="str">
        <f ca="1">_xll.PALO.ENAME($B$2,$B$3,2,2,6)</f>
        <v>Bus</v>
      </c>
      <c r="J8" s="248" t="str">
        <f ca="1">_xll.PALO.ENAME($B$2,$B$3,2,2,7)</f>
        <v>Tram</v>
      </c>
      <c r="K8" s="248" t="str">
        <f ca="1">_xll.PALO.ENAME($B$2,$B$3,2,2,8)</f>
        <v>Bus</v>
      </c>
      <c r="L8" s="248" t="str">
        <f ca="1">_xll.PALO.ENAME($B$2,$B$3,2,2,9)</f>
        <v>Tram</v>
      </c>
      <c r="M8" s="248" t="str">
        <f ca="1">_xll.PALO.ENAME($B$2,$B$3,2,2,10)</f>
        <v>Bus</v>
      </c>
      <c r="N8" s="248" t="str">
        <f ca="1">_xll.PALO.ENAME($B$2,$B$3,2,2,11)</f>
        <v>Tram</v>
      </c>
      <c r="O8" s="248" t="str">
        <f ca="1">_xll.PALO.ENAME($B$2,$B$3,2,2,12)</f>
        <v>Bus</v>
      </c>
      <c r="P8" s="248" t="str">
        <f ca="1">_xll.PALO.ENAME($B$2,$B$3,2,2,13)</f>
        <v>Tram</v>
      </c>
      <c r="Q8" s="248" t="str">
        <f ca="1">_xll.PALO.ENAME($B$2,$B$3,2,2,14)</f>
        <v>Bus</v>
      </c>
      <c r="R8" s="248" t="str">
        <f ca="1">_xll.PALO.ENAME($B$2,$B$3,2,2,15)</f>
        <v>Tram</v>
      </c>
      <c r="S8" s="248" t="str">
        <f ca="1">_xll.PALO.ENAME($B$2,$B$3,2,2,16)</f>
        <v>Bus</v>
      </c>
      <c r="T8" s="248" t="str">
        <f ca="1">_xll.PALO.ENAME($B$2,$B$3,2,2,17)</f>
        <v>Tram</v>
      </c>
      <c r="U8" s="248" t="str">
        <f ca="1">_xll.PALO.ENAME($B$2,$B$3,2,2,18)</f>
        <v>Bus</v>
      </c>
      <c r="V8" s="248" t="str">
        <f ca="1">_xll.PALO.ENAME($B$2,$B$3,2,2,19)</f>
        <v>Tram</v>
      </c>
      <c r="W8" s="248" t="str">
        <f ca="1">_xll.PALO.ENAME($B$2,$B$3,2,2,20)</f>
        <v>Bus</v>
      </c>
      <c r="X8" s="248" t="str">
        <f ca="1">_xll.PALO.ENAME($B$2,$B$3,2,2,21)</f>
        <v>Tram</v>
      </c>
      <c r="Y8" s="248" t="str">
        <f ca="1">_xll.PALO.ENAME($B$2,$B$3,2,2,22)</f>
        <v>Bus</v>
      </c>
      <c r="Z8" s="248" t="str">
        <f ca="1">_xll.PALO.ENAME($B$2,$B$3,2,2,23)</f>
        <v>Tram</v>
      </c>
      <c r="AA8" s="248" t="str">
        <f ca="1">_xll.PALO.ENAME($B$2,$B$3,2,2,24)</f>
        <v>Bus</v>
      </c>
      <c r="AB8" s="248" t="str">
        <f ca="1">_xll.PALO.ENAME($B$2,$B$3,2,2,25)</f>
        <v>Tram</v>
      </c>
      <c r="AC8" s="248" t="str">
        <f ca="1">_xll.PALO.ENAME($B$2,$B$3,2,2,26)</f>
        <v>Bus</v>
      </c>
      <c r="AD8" s="248" t="str">
        <f ca="1">_xll.PALO.ENAME($B$2,$B$3,2,2,27)</f>
        <v>Tram</v>
      </c>
      <c r="AE8" s="248" t="str">
        <f ca="1">_xll.PALO.ENAME($B$2,$B$3,2,2,28)</f>
        <v>Bus</v>
      </c>
      <c r="AF8" s="248" t="str">
        <f ca="1">_xll.PALO.ENAME($B$2,$B$3,2,2,29)</f>
        <v>Tram</v>
      </c>
      <c r="AG8" s="248" t="str">
        <f ca="1">_xll.PALO.ENAME($B$2,$B$3,2,2,30)</f>
        <v>Bus</v>
      </c>
      <c r="AH8" s="248" t="str">
        <f ca="1">_xll.PALO.ENAME($B$2,$B$3,2,2,31)</f>
        <v>Tram</v>
      </c>
      <c r="AI8" s="248" t="str">
        <f ca="1">_xll.PALO.ENAME($B$2,$B$3,2,2,32)</f>
        <v>Bus</v>
      </c>
      <c r="AJ8" s="248" t="str">
        <f ca="1">_xll.PALO.ENAME($B$2,$B$3,2,2,33)</f>
        <v>Tram</v>
      </c>
      <c r="AK8" s="248" t="str">
        <f ca="1">_xll.PALO.ENAME($B$2,$B$3,2,2,34)</f>
        <v>Bus</v>
      </c>
      <c r="AL8" s="248" t="str">
        <f ca="1">_xll.PALO.ENAME($B$2,$B$3,2,2,35)</f>
        <v>Tram</v>
      </c>
      <c r="AM8" s="248" t="str">
        <f ca="1">_xll.PALO.ENAME($B$2,$B$3,2,2,36)</f>
        <v>Bus</v>
      </c>
      <c r="AN8" s="248" t="str">
        <f ca="1">_xll.PALO.ENAME($B$2,$B$3,2,2,37)</f>
        <v>Tram</v>
      </c>
      <c r="AO8" s="248" t="str">
        <f ca="1">_xll.PALO.ENAME($B$2,$B$3,2,2,38)</f>
        <v>Bus</v>
      </c>
      <c r="AP8" s="248" t="str">
        <f ca="1">_xll.PALO.ENAME($B$2,$B$3,2,2,39)</f>
        <v>Tram</v>
      </c>
      <c r="AQ8" s="248" t="str">
        <f ca="1">_xll.PALO.ENAME($B$2,$B$3,2,2,40)</f>
        <v>Bus</v>
      </c>
      <c r="AR8" s="248" t="str">
        <f ca="1">_xll.PALO.ENAME($B$2,$B$3,2,2,41)</f>
        <v>Tram</v>
      </c>
      <c r="AS8" s="248" t="str">
        <f ca="1">_xll.PALO.ENAME($B$2,$B$3,2,2,42)</f>
        <v>Bus</v>
      </c>
      <c r="AT8" s="248" t="str">
        <f ca="1">_xll.PALO.ENAME($B$2,$B$3,2,2,43)</f>
        <v>Tram</v>
      </c>
      <c r="AU8" s="248" t="str">
        <f ca="1">_xll.PALO.ENAME($B$2,$B$3,2,2,44)</f>
        <v>Bus</v>
      </c>
      <c r="AV8" s="248" t="str">
        <f ca="1">_xll.PALO.ENAME($B$2,$B$3,2,2,45)</f>
        <v>Tram</v>
      </c>
      <c r="AW8" s="248" t="str">
        <f ca="1">_xll.PALO.ENAME($B$2,$B$3,2,2,46)</f>
        <v>Bus</v>
      </c>
      <c r="AX8" s="248" t="str">
        <f ca="1">_xll.PALO.ENAME($B$2,$B$3,2,2,47)</f>
        <v>Tram</v>
      </c>
      <c r="AY8" s="248" t="str">
        <f ca="1">_xll.PALO.ENAME($B$2,$B$3,2,2,48)</f>
        <v>Bus</v>
      </c>
      <c r="AZ8" s="248" t="str">
        <f ca="1">_xll.PALO.ENAME($B$2,$B$3,2,2,49)</f>
        <v>Tram</v>
      </c>
      <c r="BA8" s="248" t="str">
        <f ca="1">_xll.PALO.ENAME($B$2,$B$3,2,2,50)</f>
        <v>Bus</v>
      </c>
      <c r="BB8" s="248" t="str">
        <f ca="1">_xll.PALO.ENAME($B$2,$B$3,2,2,51)</f>
        <v>Tram</v>
      </c>
      <c r="BC8" s="248" t="str">
        <f ca="1">_xll.PALO.ENAME($B$2,$B$3,2,2,52)</f>
        <v>Bus</v>
      </c>
      <c r="BD8" s="248" t="str">
        <f ca="1">_xll.PALO.ENAME($B$2,$B$3,2,2,53)</f>
        <v>Tram</v>
      </c>
      <c r="BE8" s="248" t="str">
        <f ca="1">_xll.PALO.ENAME($B$2,$B$3,2,2,54)</f>
        <v>Bus</v>
      </c>
      <c r="BF8" s="248" t="str">
        <f ca="1">_xll.PALO.ENAME($B$2,$B$3,2,2,55)</f>
        <v>Tram</v>
      </c>
      <c r="BG8" s="248" t="str">
        <f ca="1">_xll.PALO.ENAME($B$2,$B$3,2,2,56)</f>
        <v>Bus</v>
      </c>
      <c r="BH8" s="248" t="str">
        <f ca="1">_xll.PALO.ENAME($B$2,$B$3,2,2,57)</f>
        <v>Tram</v>
      </c>
      <c r="BI8" s="248" t="str">
        <f ca="1">_xll.PALO.ENAME($B$2,$B$3,2,2,58)</f>
        <v>Bus</v>
      </c>
      <c r="BJ8" s="248" t="str">
        <f ca="1">_xll.PALO.ENAME($B$2,$B$3,2,2,59)</f>
        <v>Tram</v>
      </c>
      <c r="BK8" s="248" t="str">
        <f ca="1">_xll.PALO.ENAME($B$2,$B$3,2,2,60)</f>
        <v>Bus</v>
      </c>
      <c r="BL8" s="248" t="str">
        <f ca="1">_xll.PALO.ENAME($B$2,$B$3,2,2,61)</f>
        <v>Tram</v>
      </c>
      <c r="BM8" s="248" t="str">
        <f ca="1">_xll.PALO.ENAME($B$2,$B$3,2,2,62)</f>
        <v>Bus</v>
      </c>
      <c r="BN8" s="248" t="str">
        <f ca="1">_xll.PALO.ENAME($B$2,$B$3,2,2,63)</f>
        <v>Tram</v>
      </c>
      <c r="BO8" s="248" t="str">
        <f ca="1">_xll.PALO.ENAME($B$2,$B$3,2,2,64)</f>
        <v>Bus</v>
      </c>
      <c r="BP8" s="248" t="str">
        <f ca="1">_xll.PALO.ENAME($B$2,$B$3,2,2,65)</f>
        <v>Tram</v>
      </c>
      <c r="BQ8" s="248" t="str">
        <f ca="1">_xll.PALO.ENAME($B$2,$B$3,2,2,66)</f>
        <v>Bus</v>
      </c>
      <c r="BR8" s="248" t="str">
        <f ca="1">_xll.PALO.ENAME($B$2,$B$3,2,2,67)</f>
        <v>Tram</v>
      </c>
      <c r="BS8" s="248" t="str">
        <f ca="1">_xll.PALO.ENAME($B$2,$B$3,2,2,68)</f>
        <v>Bus</v>
      </c>
      <c r="BT8" s="248" t="str">
        <f ca="1">_xll.PALO.ENAME($B$2,$B$3,2,2,69)</f>
        <v>Tram</v>
      </c>
      <c r="BU8" s="248" t="str">
        <f ca="1">_xll.PALO.ENAME($B$2,$B$3,2,2,70)</f>
        <v>Bus</v>
      </c>
      <c r="BV8" s="248" t="str">
        <f ca="1">_xll.PALO.ENAME($B$2,$B$3,2,2,71)</f>
        <v>Tram</v>
      </c>
    </row>
    <row r="9" spans="2:74" ht="16" x14ac:dyDescent="0.45">
      <c r="B9" s="247" t="str">
        <f ca="1">_xll.PALO.ENAME($B$2,$B$3,1,0,0)</f>
        <v>LPPA "Liepājas sabiedriskais transports"</v>
      </c>
      <c r="C9" s="242">
        <f ca="1">_xll.PALO.DATA($B$2,$B$3,_xll.PALO.EL("Time",C$6),_xll.PALO.EL("Partner",$B9),_xll.PALO.EL($D$2,$D$3),_xll.PALO.EL($E$2,$E$3),_xll.PALO.EL($I$2,$I$3),_xll.PALO.EL($F$2,$F$3),_xll.PALO.EL($G$2,$G$3),_xll.PALO.EL("Transport",C$8),_xll.PALO.EL($H$2,$H$3),_xll.PALO.EL("Position",C$7))</f>
        <v>255532.3</v>
      </c>
      <c r="D9" s="243">
        <f ca="1">_xll.PALO.DATA($B$2,$B$3,_xll.PALO.EL("Time",D$6),_xll.PALO.EL("Partner",$B9),_xll.PALO.EL($D$2,$D$3),_xll.PALO.EL($E$2,$E$3),_xll.PALO.EL($I$2,$I$3),_xll.PALO.EL($F$2,$F$3),_xll.PALO.EL($G$2,$G$3),_xll.PALO.EL("Transport",D$8),_xll.PALO.EL($H$2,$H$3),_xll.PALO.EL("Position",D$7))</f>
        <v>46515.34</v>
      </c>
      <c r="E9" s="243">
        <f ca="1">_xll.PALO.DATA($B$2,$B$3,_xll.PALO.EL("Time",E$6),_xll.PALO.EL("Partner",$B9),_xll.PALO.EL($D$2,$D$3),_xll.PALO.EL($E$2,$E$3),_xll.PALO.EL($I$2,$I$3),_xll.PALO.EL($F$2,$F$3),_xll.PALO.EL($G$2,$G$3),_xll.PALO.EL("Transport",E$8),_xll.PALO.EL($H$2,$H$3),_xll.PALO.EL("Position",E$7))</f>
        <v>328818.45</v>
      </c>
      <c r="F9" s="243">
        <f ca="1">_xll.PALO.DATA($B$2,$B$3,_xll.PALO.EL("Time",F$6),_xll.PALO.EL("Partner",$B9),_xll.PALO.EL($D$2,$D$3),_xll.PALO.EL($E$2,$E$3),_xll.PALO.EL($I$2,$I$3),_xll.PALO.EL($F$2,$F$3),_xll.PALO.EL($G$2,$G$3),_xll.PALO.EL("Transport",F$8),_xll.PALO.EL($H$2,$H$3),_xll.PALO.EL("Position",F$7))</f>
        <v>59858.6</v>
      </c>
      <c r="G9" s="243">
        <f ca="1">_xll.PALO.DATA($B$2,$B$3,_xll.PALO.EL("Time",G$6),_xll.PALO.EL("Partner",$B9),_xll.PALO.EL($D$2,$D$3),_xll.PALO.EL($E$2,$E$3),_xll.PALO.EL($I$2,$I$3),_xll.PALO.EL($F$2,$F$3),_xll.PALO.EL($G$2,$G$3),_xll.PALO.EL("Transport",G$8),_xll.PALO.EL($H$2,$H$3),_xll.PALO.EL("Position",G$7))</f>
        <v>1.4</v>
      </c>
      <c r="H9" s="243">
        <f ca="1">_xll.PALO.DATA($B$2,$B$3,_xll.PALO.EL("Time",H$6),_xll.PALO.EL("Partner",$B9),_xll.PALO.EL($D$2,$D$3),_xll.PALO.EL($E$2,$E$3),_xll.PALO.EL($I$2,$I$3),_xll.PALO.EL($F$2,$F$3),_xll.PALO.EL($G$2,$G$3),_xll.PALO.EL("Transport",H$8),_xll.PALO.EL($H$2,$H$3),_xll.PALO.EL("Position",H$7))</f>
        <v>2.46</v>
      </c>
      <c r="I9" s="242">
        <f ca="1">_xll.PALO.DATA($B$2,$B$3,_xll.PALO.EL("Time",I$6),_xll.PALO.EL("Partner",$B9),_xll.PALO.EL($D$2,$D$3),_xll.PALO.EL($E$2,$E$3),_xll.PALO.EL($I$2,$I$3),_xll.PALO.EL($F$2,$F$3),_xll.PALO.EL($G$2,$G$3),_xll.PALO.EL("Transport",I$8),_xll.PALO.EL($H$2,$H$3),_xll.PALO.EL("Position",I$7))</f>
        <v>266391.34999999998</v>
      </c>
      <c r="J9" s="243">
        <f ca="1">_xll.PALO.DATA($B$2,$B$3,_xll.PALO.EL("Time",J$6),_xll.PALO.EL("Partner",$B9),_xll.PALO.EL($D$2,$D$3),_xll.PALO.EL($E$2,$E$3),_xll.PALO.EL($I$2,$I$3),_xll.PALO.EL($F$2,$F$3),_xll.PALO.EL($G$2,$G$3),_xll.PALO.EL("Transport",J$8),_xll.PALO.EL($H$2,$H$3),_xll.PALO.EL("Position",J$7))</f>
        <v>47823.5</v>
      </c>
      <c r="K9" s="243">
        <f ca="1">_xll.PALO.DATA($B$2,$B$3,_xll.PALO.EL("Time",K$6),_xll.PALO.EL("Partner",$B9),_xll.PALO.EL($D$2,$D$3),_xll.PALO.EL($E$2,$E$3),_xll.PALO.EL($I$2,$I$3),_xll.PALO.EL($F$2,$F$3),_xll.PALO.EL($G$2,$G$3),_xll.PALO.EL("Transport",K$8),_xll.PALO.EL($H$2,$H$3),_xll.PALO.EL("Position",K$7))</f>
        <v>322082.32</v>
      </c>
      <c r="L9" s="243">
        <f ca="1">_xll.PALO.DATA($B$2,$B$3,_xll.PALO.EL("Time",L$6),_xll.PALO.EL("Partner",$B9),_xll.PALO.EL($D$2,$D$3),_xll.PALO.EL($E$2,$E$3),_xll.PALO.EL($I$2,$I$3),_xll.PALO.EL($F$2,$F$3),_xll.PALO.EL($G$2,$G$3),_xll.PALO.EL("Transport",L$8),_xll.PALO.EL($H$2,$H$3),_xll.PALO.EL("Position",L$7))</f>
        <v>57831</v>
      </c>
      <c r="M9" s="243">
        <f ca="1">_xll.PALO.DATA($B$2,$B$3,_xll.PALO.EL("Time",M$6),_xll.PALO.EL("Partner",$B9),_xll.PALO.EL($D$2,$D$3),_xll.PALO.EL($E$2,$E$3),_xll.PALO.EL($I$2,$I$3),_xll.PALO.EL($F$2,$F$3),_xll.PALO.EL($G$2,$G$3),_xll.PALO.EL("Transport",M$8),_xll.PALO.EL($H$2,$H$3),_xll.PALO.EL("Position",M$7))</f>
        <v>1.3978999999999999</v>
      </c>
      <c r="N9" s="243">
        <f ca="1">_xll.PALO.DATA($B$2,$B$3,_xll.PALO.EL("Time",N$6),_xll.PALO.EL("Partner",$B9),_xll.PALO.EL($D$2,$D$3),_xll.PALO.EL($E$2,$E$3),_xll.PALO.EL($I$2,$I$3),_xll.PALO.EL($F$2,$F$3),_xll.PALO.EL($G$2,$G$3),_xll.PALO.EL("Transport",N$8),_xll.PALO.EL($H$2,$H$3),_xll.PALO.EL("Position",N$7))</f>
        <v>2.4581</v>
      </c>
      <c r="O9" s="242">
        <f ca="1">_xll.PALO.DATA($B$2,$B$3,_xll.PALO.EL("Time",O$6),_xll.PALO.EL("Partner",$B9),_xll.PALO.EL($D$2,$D$3),_xll.PALO.EL($E$2,$E$3),_xll.PALO.EL($I$2,$I$3),_xll.PALO.EL($F$2,$F$3),_xll.PALO.EL($G$2,$G$3),_xll.PALO.EL("Transport",O$8),_xll.PALO.EL($H$2,$H$3),_xll.PALO.EL("Position",O$7))</f>
        <v>239647.78</v>
      </c>
      <c r="P9" s="243">
        <f ca="1">_xll.PALO.DATA($B$2,$B$3,_xll.PALO.EL("Time",P$6),_xll.PALO.EL("Partner",$B9),_xll.PALO.EL($D$2,$D$3),_xll.PALO.EL($E$2,$E$3),_xll.PALO.EL($I$2,$I$3),_xll.PALO.EL($F$2,$F$3),_xll.PALO.EL($G$2,$G$3),_xll.PALO.EL("Transport",P$8),_xll.PALO.EL($H$2,$H$3),_xll.PALO.EL("Position",P$7))</f>
        <v>42955.73</v>
      </c>
      <c r="Q9" s="243">
        <f ca="1">_xll.PALO.DATA($B$2,$B$3,_xll.PALO.EL("Time",Q$6),_xll.PALO.EL("Partner",$B9),_xll.PALO.EL($D$2,$D$3),_xll.PALO.EL($E$2,$E$3),_xll.PALO.EL($I$2,$I$3),_xll.PALO.EL($F$2,$F$3),_xll.PALO.EL($G$2,$G$3),_xll.PALO.EL("Transport",Q$8),_xll.PALO.EL($H$2,$H$3),_xll.PALO.EL("Position",Q$7))</f>
        <v>334653.18</v>
      </c>
      <c r="R9" s="243">
        <f ca="1">_xll.PALO.DATA($B$2,$B$3,_xll.PALO.EL("Time",R$6),_xll.PALO.EL("Partner",$B9),_xll.PALO.EL($D$2,$D$3),_xll.PALO.EL($E$2,$E$3),_xll.PALO.EL($I$2,$I$3),_xll.PALO.EL($F$2,$F$3),_xll.PALO.EL($G$2,$G$3),_xll.PALO.EL("Transport",R$8),_xll.PALO.EL($H$2,$H$3),_xll.PALO.EL("Position",R$7))</f>
        <v>59984.4</v>
      </c>
      <c r="S9" s="243">
        <f ca="1">_xll.PALO.DATA($B$2,$B$3,_xll.PALO.EL("Time",S$6),_xll.PALO.EL("Partner",$B9),_xll.PALO.EL($D$2,$D$3),_xll.PALO.EL($E$2,$E$3),_xll.PALO.EL($I$2,$I$3),_xll.PALO.EL($F$2,$F$3),_xll.PALO.EL($G$2,$G$3),_xll.PALO.EL("Transport",S$8),_xll.PALO.EL($H$2,$H$3),_xll.PALO.EL("Position",S$7))</f>
        <v>1.4100000000000001</v>
      </c>
      <c r="T9" s="243">
        <f ca="1">_xll.PALO.DATA($B$2,$B$3,_xll.PALO.EL("Time",T$6),_xll.PALO.EL("Partner",$B9),_xll.PALO.EL($D$2,$D$3),_xll.PALO.EL($E$2,$E$3),_xll.PALO.EL($I$2,$I$3),_xll.PALO.EL($F$2,$F$3),_xll.PALO.EL($G$2,$G$3),_xll.PALO.EL("Transport",T$8),_xll.PALO.EL($H$2,$H$3),_xll.PALO.EL("Position",T$7))</f>
        <v>2.46</v>
      </c>
      <c r="U9" s="242">
        <f ca="1">_xll.PALO.DATA($B$2,$B$3,_xll.PALO.EL("Time",U$6),_xll.PALO.EL("Partner",$B9),_xll.PALO.EL($D$2,$D$3),_xll.PALO.EL($E$2,$E$3),_xll.PALO.EL($I$2,$I$3),_xll.PALO.EL($F$2,$F$3),_xll.PALO.EL($G$2,$G$3),_xll.PALO.EL("Transport",U$8),_xll.PALO.EL($H$2,$H$3),_xll.PALO.EL("Position",U$7))</f>
        <v>216589.08</v>
      </c>
      <c r="V9" s="243">
        <f ca="1">_xll.PALO.DATA($B$2,$B$3,_xll.PALO.EL("Time",V$6),_xll.PALO.EL("Partner",$B9),_xll.PALO.EL($D$2,$D$3),_xll.PALO.EL($E$2,$E$3),_xll.PALO.EL($I$2,$I$3),_xll.PALO.EL($F$2,$F$3),_xll.PALO.EL($G$2,$G$3),_xll.PALO.EL("Transport",V$8),_xll.PALO.EL($H$2,$H$3),_xll.PALO.EL("Position",V$7))</f>
        <v>41531.620000000003</v>
      </c>
      <c r="W9" s="243">
        <f ca="1">_xll.PALO.DATA($B$2,$B$3,_xll.PALO.EL("Time",W$6),_xll.PALO.EL("Partner",$B9),_xll.PALO.EL($D$2,$D$3),_xll.PALO.EL($E$2,$E$3),_xll.PALO.EL($I$2,$I$3),_xll.PALO.EL($F$2,$F$3),_xll.PALO.EL($G$2,$G$3),_xll.PALO.EL("Transport",W$8),_xll.PALO.EL($H$2,$H$3),_xll.PALO.EL("Position",W$7))</f>
        <v>300428.26</v>
      </c>
      <c r="X9" s="243">
        <f ca="1">_xll.PALO.DATA($B$2,$B$3,_xll.PALO.EL("Time",X$6),_xll.PALO.EL("Partner",$B9),_xll.PALO.EL($D$2,$D$3),_xll.PALO.EL($E$2,$E$3),_xll.PALO.EL($I$2,$I$3),_xll.PALO.EL($F$2,$F$3),_xll.PALO.EL($G$2,$G$3),_xll.PALO.EL("Transport",X$8),_xll.PALO.EL($H$2,$H$3),_xll.PALO.EL("Position",X$7))</f>
        <v>57586.8</v>
      </c>
      <c r="Y9" s="243">
        <f ca="1">_xll.PALO.DATA($B$2,$B$3,_xll.PALO.EL("Time",Y$6),_xll.PALO.EL("Partner",$B9),_xll.PALO.EL($D$2,$D$3),_xll.PALO.EL($E$2,$E$3),_xll.PALO.EL($I$2,$I$3),_xll.PALO.EL($F$2,$F$3),_xll.PALO.EL($G$2,$G$3),_xll.PALO.EL("Transport",Y$8),_xll.PALO.EL($H$2,$H$3),_xll.PALO.EL("Position",Y$7))</f>
        <v>1.55</v>
      </c>
      <c r="Z9" s="243">
        <f ca="1">_xll.PALO.DATA($B$2,$B$3,_xll.PALO.EL("Time",Z$6),_xll.PALO.EL("Partner",$B9),_xll.PALO.EL($D$2,$D$3),_xll.PALO.EL($E$2,$E$3),_xll.PALO.EL($I$2,$I$3),_xll.PALO.EL($F$2,$F$3),_xll.PALO.EL($G$2,$G$3),_xll.PALO.EL("Transport",Z$8),_xll.PALO.EL($H$2,$H$3),_xll.PALO.EL("Position",Z$7))</f>
        <v>2.4700000000000002</v>
      </c>
      <c r="AA9" s="242">
        <f ca="1">_xll.PALO.DATA($B$2,$B$3,_xll.PALO.EL("Time",AA$6),_xll.PALO.EL("Partner",$B9),_xll.PALO.EL($D$2,$D$3),_xll.PALO.EL($E$2,$E$3),_xll.PALO.EL($I$2,$I$3),_xll.PALO.EL($F$2,$F$3),_xll.PALO.EL($G$2,$G$3),_xll.PALO.EL("Transport",AA$8),_xll.PALO.EL($H$2,$H$3),_xll.PALO.EL("Position",AA$7))</f>
        <v>184695.57</v>
      </c>
      <c r="AB9" s="243">
        <f ca="1">_xll.PALO.DATA($B$2,$B$3,_xll.PALO.EL("Time",AB$6),_xll.PALO.EL("Partner",$B9),_xll.PALO.EL($D$2,$D$3),_xll.PALO.EL($E$2,$E$3),_xll.PALO.EL($I$2,$I$3),_xll.PALO.EL($F$2,$F$3),_xll.PALO.EL($G$2,$G$3),_xll.PALO.EL("Transport",AB$8),_xll.PALO.EL($H$2,$H$3),_xll.PALO.EL("Position",AB$7))</f>
        <v>39150.71</v>
      </c>
      <c r="AC9" s="243">
        <f ca="1">_xll.PALO.DATA($B$2,$B$3,_xll.PALO.EL("Time",AC$6),_xll.PALO.EL("Partner",$B9),_xll.PALO.EL($D$2,$D$3),_xll.PALO.EL($E$2,$E$3),_xll.PALO.EL($I$2,$I$3),_xll.PALO.EL($F$2,$F$3),_xll.PALO.EL($G$2,$G$3),_xll.PALO.EL("Transport",AC$8),_xll.PALO.EL($H$2,$H$3),_xll.PALO.EL("Position",AC$7))</f>
        <v>282127.78999999998</v>
      </c>
      <c r="AD9" s="243">
        <f ca="1">_xll.PALO.DATA($B$2,$B$3,_xll.PALO.EL("Time",AD$6),_xll.PALO.EL("Partner",$B9),_xll.PALO.EL($D$2,$D$3),_xll.PALO.EL($E$2,$E$3),_xll.PALO.EL($I$2,$I$3),_xll.PALO.EL($F$2,$F$3),_xll.PALO.EL($G$2,$G$3),_xll.PALO.EL("Transport",AD$8),_xll.PALO.EL($H$2,$H$3),_xll.PALO.EL("Position",AD$7))</f>
        <v>59784.6</v>
      </c>
      <c r="AE9" s="243">
        <f ca="1">_xll.PALO.DATA($B$2,$B$3,_xll.PALO.EL("Time",AE$6),_xll.PALO.EL("Partner",$B9),_xll.PALO.EL($D$2,$D$3),_xll.PALO.EL($E$2,$E$3),_xll.PALO.EL($I$2,$I$3),_xll.PALO.EL($F$2,$F$3),_xll.PALO.EL($G$2,$G$3),_xll.PALO.EL("Transport",AE$8),_xll.PALO.EL($H$2,$H$3),_xll.PALO.EL("Position",AE$7))</f>
        <v>1.38</v>
      </c>
      <c r="AF9" s="243">
        <f ca="1">_xll.PALO.DATA($B$2,$B$3,_xll.PALO.EL("Time",AF$6),_xll.PALO.EL("Partner",$B9),_xll.PALO.EL($D$2,$D$3),_xll.PALO.EL($E$2,$E$3),_xll.PALO.EL($I$2,$I$3),_xll.PALO.EL($F$2,$F$3),_xll.PALO.EL($G$2,$G$3),_xll.PALO.EL("Transport",AF$8),_xll.PALO.EL($H$2,$H$3),_xll.PALO.EL("Position",AF$7))</f>
        <v>2.52</v>
      </c>
      <c r="AG9" s="242">
        <f ca="1">_xll.PALO.DATA($B$2,$B$3,_xll.PALO.EL("Time",AG$6),_xll.PALO.EL("Partner",$B9),_xll.PALO.EL($D$2,$D$3),_xll.PALO.EL($E$2,$E$3),_xll.PALO.EL($I$2,$I$3),_xll.PALO.EL($F$2,$F$3),_xll.PALO.EL($G$2,$G$3),_xll.PALO.EL("Transport",AG$8),_xll.PALO.EL($H$2,$H$3),_xll.PALO.EL("Position",AG$7))</f>
        <v>96194.559999999998</v>
      </c>
      <c r="AH9" s="243">
        <f ca="1">_xll.PALO.DATA($B$2,$B$3,_xll.PALO.EL("Time",AH$6),_xll.PALO.EL("Partner",$B9),_xll.PALO.EL($D$2,$D$3),_xll.PALO.EL($E$2,$E$3),_xll.PALO.EL($I$2,$I$3),_xll.PALO.EL($F$2,$F$3),_xll.PALO.EL($G$2,$G$3),_xll.PALO.EL("Transport",AH$8),_xll.PALO.EL($H$2,$H$3),_xll.PALO.EL("Position",AH$7))</f>
        <v>20830.45</v>
      </c>
      <c r="AI9" s="243">
        <f ca="1">_xll.PALO.DATA($B$2,$B$3,_xll.PALO.EL("Time",AI$6),_xll.PALO.EL("Partner",$B9),_xll.PALO.EL($D$2,$D$3),_xll.PALO.EL($E$2,$E$3),_xll.PALO.EL($I$2,$I$3),_xll.PALO.EL($F$2,$F$3),_xll.PALO.EL($G$2,$G$3),_xll.PALO.EL("Transport",AI$8),_xll.PALO.EL($H$2,$H$3),_xll.PALO.EL("Position",AI$7))</f>
        <v>267794.65000000002</v>
      </c>
      <c r="AJ9" s="243">
        <f ca="1">_xll.PALO.DATA($B$2,$B$3,_xll.PALO.EL("Time",AJ$6),_xll.PALO.EL("Partner",$B9),_xll.PALO.EL($D$2,$D$3),_xll.PALO.EL($E$2,$E$3),_xll.PALO.EL($I$2,$I$3),_xll.PALO.EL($F$2,$F$3),_xll.PALO.EL($G$2,$G$3),_xll.PALO.EL("Transport",AJ$8),_xll.PALO.EL($H$2,$H$3),_xll.PALO.EL("Position",AJ$7))</f>
        <v>57986.400000000001</v>
      </c>
      <c r="AK9" s="243">
        <f ca="1">_xll.PALO.DATA($B$2,$B$3,_xll.PALO.EL("Time",AK$6),_xll.PALO.EL("Partner",$B9),_xll.PALO.EL($D$2,$D$3),_xll.PALO.EL($E$2,$E$3),_xll.PALO.EL($I$2,$I$3),_xll.PALO.EL($F$2,$F$3),_xll.PALO.EL($G$2,$G$3),_xll.PALO.EL("Transport",AK$8),_xll.PALO.EL($H$2,$H$3),_xll.PALO.EL("Position",AK$7))</f>
        <v>1.3444</v>
      </c>
      <c r="AL9" s="243">
        <f ca="1">_xll.PALO.DATA($B$2,$B$3,_xll.PALO.EL("Time",AL$6),_xll.PALO.EL("Partner",$B9),_xll.PALO.EL($D$2,$D$3),_xll.PALO.EL($E$2,$E$3),_xll.PALO.EL($I$2,$I$3),_xll.PALO.EL($F$2,$F$3),_xll.PALO.EL($G$2,$G$3),_xll.PALO.EL("Transport",AL$8),_xll.PALO.EL($H$2,$H$3),_xll.PALO.EL("Position",AL$7))</f>
        <v>2.48</v>
      </c>
      <c r="AM9" s="242">
        <f ca="1">_xll.PALO.DATA($B$2,$B$3,_xll.PALO.EL("Time",AM$6),_xll.PALO.EL("Partner",$B9),_xll.PALO.EL($D$2,$D$3),_xll.PALO.EL($E$2,$E$3),_xll.PALO.EL($I$2,$I$3),_xll.PALO.EL($F$2,$F$3),_xll.PALO.EL($G$2,$G$3),_xll.PALO.EL("Transport",AM$8),_xll.PALO.EL($H$2,$H$3),_xll.PALO.EL("Position",AM$7))</f>
        <v>97604.87</v>
      </c>
      <c r="AN9" s="243">
        <f ca="1">_xll.PALO.DATA($B$2,$B$3,_xll.PALO.EL("Time",AN$6),_xll.PALO.EL("Partner",$B9),_xll.PALO.EL($D$2,$D$3),_xll.PALO.EL($E$2,$E$3),_xll.PALO.EL($I$2,$I$3),_xll.PALO.EL($F$2,$F$3),_xll.PALO.EL($G$2,$G$3),_xll.PALO.EL("Transport",AN$8),_xll.PALO.EL($H$2,$H$3),_xll.PALO.EL("Position",AN$7))</f>
        <v>21164.75</v>
      </c>
      <c r="AO9" s="243">
        <f ca="1">_xll.PALO.DATA($B$2,$B$3,_xll.PALO.EL("Time",AO$6),_xll.PALO.EL("Partner",$B9),_xll.PALO.EL($D$2,$D$3),_xll.PALO.EL($E$2,$E$3),_xll.PALO.EL($I$2,$I$3),_xll.PALO.EL($F$2,$F$3),_xll.PALO.EL($G$2,$G$3),_xll.PALO.EL("Transport",AO$8),_xll.PALO.EL($H$2,$H$3),_xll.PALO.EL("Position",AO$7))</f>
        <v>273819.84000000003</v>
      </c>
      <c r="AP9" s="243">
        <f ca="1">_xll.PALO.DATA($B$2,$B$3,_xll.PALO.EL("Time",AP$6),_xll.PALO.EL("Partner",$B9),_xll.PALO.EL($D$2,$D$3),_xll.PALO.EL($E$2,$E$3),_xll.PALO.EL($I$2,$I$3),_xll.PALO.EL($F$2,$F$3),_xll.PALO.EL($G$2,$G$3),_xll.PALO.EL("Transport",AP$8),_xll.PALO.EL($H$2,$H$3),_xll.PALO.EL("Position",AP$7))</f>
        <v>59377.599999999999</v>
      </c>
      <c r="AQ9" s="243">
        <f ca="1">_xll.PALO.DATA($B$2,$B$3,_xll.PALO.EL("Time",AQ$6),_xll.PALO.EL("Partner",$B9),_xll.PALO.EL($D$2,$D$3),_xll.PALO.EL($E$2,$E$3),_xll.PALO.EL($I$2,$I$3),_xll.PALO.EL($F$2,$F$3),_xll.PALO.EL($G$2,$G$3),_xll.PALO.EL("Transport",AQ$8),_xll.PALO.EL($H$2,$H$3),_xll.PALO.EL("Position",AQ$7))</f>
        <v>1.3599999999999999</v>
      </c>
      <c r="AR9" s="243">
        <f ca="1">_xll.PALO.DATA($B$2,$B$3,_xll.PALO.EL("Time",AR$6),_xll.PALO.EL("Partner",$B9),_xll.PALO.EL($D$2,$D$3),_xll.PALO.EL($E$2,$E$3),_xll.PALO.EL($I$2,$I$3),_xll.PALO.EL($F$2,$F$3),_xll.PALO.EL($G$2,$G$3),_xll.PALO.EL("Transport",AR$8),_xll.PALO.EL($H$2,$H$3),_xll.PALO.EL("Position",AR$7))</f>
        <v>2.4900000000000002</v>
      </c>
      <c r="AS9" s="242">
        <f ca="1">_xll.PALO.DATA($B$2,$B$3,_xll.PALO.EL("Time",AS$6),_xll.PALO.EL("Partner",$B9),_xll.PALO.EL($D$2,$D$3),_xll.PALO.EL($E$2,$E$3),_xll.PALO.EL($I$2,$I$3),_xll.PALO.EL($F$2,$F$3),_xll.PALO.EL($G$2,$G$3),_xll.PALO.EL("Transport",AS$8),_xll.PALO.EL($H$2,$H$3),_xll.PALO.EL("Position",AS$7))</f>
        <v>145876.73000000001</v>
      </c>
      <c r="AT9" s="243">
        <f ca="1">_xll.PALO.DATA($B$2,$B$3,_xll.PALO.EL("Time",AT$6),_xll.PALO.EL("Partner",$B9),_xll.PALO.EL($D$2,$D$3),_xll.PALO.EL($E$2,$E$3),_xll.PALO.EL($I$2,$I$3),_xll.PALO.EL($F$2,$F$3),_xll.PALO.EL($G$2,$G$3),_xll.PALO.EL("Transport",AT$8),_xll.PALO.EL($H$2,$H$3),_xll.PALO.EL("Position",AT$7))</f>
        <v>31610.47</v>
      </c>
      <c r="AU9" s="243">
        <f ca="1">_xll.PALO.DATA($B$2,$B$3,_xll.PALO.EL("Time",AU$6),_xll.PALO.EL("Partner",$B9),_xll.PALO.EL($D$2,$D$3),_xll.PALO.EL($E$2,$E$3),_xll.PALO.EL($I$2,$I$3),_xll.PALO.EL($F$2,$F$3),_xll.PALO.EL($G$2,$G$3),_xll.PALO.EL("Transport",AU$8),_xll.PALO.EL($H$2,$H$3),_xll.PALO.EL("Position",AU$7))</f>
        <v>267589.38</v>
      </c>
      <c r="AV9" s="243">
        <f ca="1">_xll.PALO.DATA($B$2,$B$3,_xll.PALO.EL("Time",AV$6),_xll.PALO.EL("Partner",$B9),_xll.PALO.EL($D$2,$D$3),_xll.PALO.EL($E$2,$E$3),_xll.PALO.EL($I$2,$I$3),_xll.PALO.EL($F$2,$F$3),_xll.PALO.EL($G$2,$G$3),_xll.PALO.EL("Transport",AV$8),_xll.PALO.EL($H$2,$H$3),_xll.PALO.EL("Position",AV$7))</f>
        <v>57971.6</v>
      </c>
      <c r="AW9" s="243">
        <f ca="1">_xll.PALO.DATA($B$2,$B$3,_xll.PALO.EL("Time",AW$6),_xll.PALO.EL("Partner",$B9),_xll.PALO.EL($D$2,$D$3),_xll.PALO.EL($E$2,$E$3),_xll.PALO.EL($I$2,$I$3),_xll.PALO.EL($F$2,$F$3),_xll.PALO.EL($G$2,$G$3),_xll.PALO.EL("Transport",AW$8),_xll.PALO.EL($H$2,$H$3),_xll.PALO.EL("Position",AW$7))</f>
        <v>1.38</v>
      </c>
      <c r="AX9" s="243">
        <f ca="1">_xll.PALO.DATA($B$2,$B$3,_xll.PALO.EL("Time",AX$6),_xll.PALO.EL("Partner",$B9),_xll.PALO.EL($D$2,$D$3),_xll.PALO.EL($E$2,$E$3),_xll.PALO.EL($I$2,$I$3),_xll.PALO.EL($F$2,$F$3),_xll.PALO.EL($G$2,$G$3),_xll.PALO.EL("Transport",AX$8),_xll.PALO.EL($H$2,$H$3),_xll.PALO.EL("Position",AX$7))</f>
        <v>2.84</v>
      </c>
      <c r="AY9" s="242">
        <f ca="1">_xll.PALO.DATA($B$2,$B$3,_xll.PALO.EL("Time",AY$6),_xll.PALO.EL("Partner",$B9),_xll.PALO.EL($D$2,$D$3),_xll.PALO.EL($E$2,$E$3),_xll.PALO.EL($I$2,$I$3),_xll.PALO.EL($F$2,$F$3),_xll.PALO.EL($G$2,$G$3),_xll.PALO.EL("Transport",AY$8),_xll.PALO.EL($H$2,$H$3),_xll.PALO.EL("Position",AY$7))</f>
        <v>153004.31</v>
      </c>
      <c r="AZ9" s="243">
        <f ca="1">_xll.PALO.DATA($B$2,$B$3,_xll.PALO.EL("Time",AZ$6),_xll.PALO.EL("Partner",$B9),_xll.PALO.EL($D$2,$D$3),_xll.PALO.EL($E$2,$E$3),_xll.PALO.EL($I$2,$I$3),_xll.PALO.EL($F$2,$F$3),_xll.PALO.EL($G$2,$G$3),_xll.PALO.EL("Transport",AZ$8),_xll.PALO.EL($H$2,$H$3),_xll.PALO.EL("Position",AZ$7))</f>
        <v>32612.95</v>
      </c>
      <c r="BA9" s="243">
        <f ca="1">_xll.PALO.DATA($B$2,$B$3,_xll.PALO.EL("Time",BA$6),_xll.PALO.EL("Partner",$B9),_xll.PALO.EL($D$2,$D$3),_xll.PALO.EL($E$2,$E$3),_xll.PALO.EL($I$2,$I$3),_xll.PALO.EL($F$2,$F$3),_xll.PALO.EL($G$2,$G$3),_xll.PALO.EL("Transport",BA$8),_xll.PALO.EL($H$2,$H$3),_xll.PALO.EL("Position",BA$7))</f>
        <v>284587</v>
      </c>
      <c r="BB9" s="243">
        <f ca="1">_xll.PALO.DATA($B$2,$B$3,_xll.PALO.EL("Time",BB$6),_xll.PALO.EL("Partner",$B9),_xll.PALO.EL($D$2,$D$3),_xll.PALO.EL($E$2,$E$3),_xll.PALO.EL($I$2,$I$3),_xll.PALO.EL($F$2,$F$3),_xll.PALO.EL($G$2,$G$3),_xll.PALO.EL("Transport",BB$8),_xll.PALO.EL($H$2,$H$3),_xll.PALO.EL("Position",BB$7))</f>
        <v>60680</v>
      </c>
      <c r="BC9" s="243">
        <f ca="1">_xll.PALO.DATA($B$2,$B$3,_xll.PALO.EL("Time",BC$6),_xll.PALO.EL("Partner",$B9),_xll.PALO.EL($D$2,$D$3),_xll.PALO.EL($E$2,$E$3),_xll.PALO.EL($I$2,$I$3),_xll.PALO.EL($F$2,$F$3),_xll.PALO.EL($G$2,$G$3),_xll.PALO.EL("Transport",BC$8),_xll.PALO.EL($H$2,$H$3),_xll.PALO.EL("Position",BC$7))</f>
        <v>1.3599999999999999</v>
      </c>
      <c r="BD9" s="243">
        <f ca="1">_xll.PALO.DATA($B$2,$B$3,_xll.PALO.EL("Time",BD$6),_xll.PALO.EL("Partner",$B9),_xll.PALO.EL($D$2,$D$3),_xll.PALO.EL($E$2,$E$3),_xll.PALO.EL($I$2,$I$3),_xll.PALO.EL($F$2,$F$3),_xll.PALO.EL($G$2,$G$3),_xll.PALO.EL("Transport",BD$8),_xll.PALO.EL($H$2,$H$3),_xll.PALO.EL("Position",BD$7))</f>
        <v>2.81</v>
      </c>
      <c r="BE9" s="242">
        <f ca="1">_xll.PALO.DATA($B$2,$B$3,_xll.PALO.EL("Time",BE$6),_xll.PALO.EL("Partner",$B9),_xll.PALO.EL($D$2,$D$3),_xll.PALO.EL($E$2,$E$3),_xll.PALO.EL($I$2,$I$3),_xll.PALO.EL($F$2,$F$3),_xll.PALO.EL($G$2,$G$3),_xll.PALO.EL("Transport",BE$8),_xll.PALO.EL($H$2,$H$3),_xll.PALO.EL("Position",BE$7))</f>
        <v>150512.01</v>
      </c>
      <c r="BF9" s="243">
        <f ca="1">_xll.PALO.DATA($B$2,$B$3,_xll.PALO.EL("Time",BF$6),_xll.PALO.EL("Partner",$B9),_xll.PALO.EL($D$2,$D$3),_xll.PALO.EL($E$2,$E$3),_xll.PALO.EL($I$2,$I$3),_xll.PALO.EL($F$2,$F$3),_xll.PALO.EL($G$2,$G$3),_xll.PALO.EL("Transport",BF$8),_xll.PALO.EL($H$2,$H$3),_xll.PALO.EL("Position",BF$7))</f>
        <v>30631.34</v>
      </c>
      <c r="BG9" s="243">
        <f ca="1">_xll.PALO.DATA($B$2,$B$3,_xll.PALO.EL("Time",BG$6),_xll.PALO.EL("Partner",$B9),_xll.PALO.EL($D$2,$D$3),_xll.PALO.EL($E$2,$E$3),_xll.PALO.EL($I$2,$I$3),_xll.PALO.EL($F$2,$F$3),_xll.PALO.EL($G$2,$G$3),_xll.PALO.EL("Transport",BG$8),_xll.PALO.EL($H$2,$H$3),_xll.PALO.EL("Position",BG$7))</f>
        <v>273129.09000000003</v>
      </c>
      <c r="BH9" s="243">
        <f ca="1">_xll.PALO.DATA($B$2,$B$3,_xll.PALO.EL("Time",BH$6),_xll.PALO.EL("Partner",$B9),_xll.PALO.EL($D$2,$D$3),_xll.PALO.EL($E$2,$E$3),_xll.PALO.EL($I$2,$I$3),_xll.PALO.EL($F$2,$F$3),_xll.PALO.EL($G$2,$G$3),_xll.PALO.EL("Transport",BH$8),_xll.PALO.EL($H$2,$H$3),_xll.PALO.EL("Position",BH$7))</f>
        <v>55576.4</v>
      </c>
      <c r="BI9" s="243">
        <f ca="1">_xll.PALO.DATA($B$2,$B$3,_xll.PALO.EL("Time",BI$6),_xll.PALO.EL("Partner",$B9),_xll.PALO.EL($D$2,$D$3),_xll.PALO.EL($E$2,$E$3),_xll.PALO.EL($I$2,$I$3),_xll.PALO.EL($F$2,$F$3),_xll.PALO.EL($G$2,$G$3),_xll.PALO.EL("Transport",BI$8),_xll.PALO.EL($H$2,$H$3),_xll.PALO.EL("Position",BI$7))</f>
        <v>1.3722000000000001</v>
      </c>
      <c r="BJ9" s="243">
        <f ca="1">_xll.PALO.DATA($B$2,$B$3,_xll.PALO.EL("Time",BJ$6),_xll.PALO.EL("Partner",$B9),_xll.PALO.EL($D$2,$D$3),_xll.PALO.EL($E$2,$E$3),_xll.PALO.EL($I$2,$I$3),_xll.PALO.EL($F$2,$F$3),_xll.PALO.EL($G$2,$G$3),_xll.PALO.EL("Transport",BJ$8),_xll.PALO.EL($H$2,$H$3),_xll.PALO.EL("Position",BJ$7))</f>
        <v>3.07</v>
      </c>
      <c r="BK9" s="242">
        <f ca="1">_xll.PALO.DATA($B$2,$B$3,_xll.PALO.EL("Time",BK$6),_xll.PALO.EL("Partner",$B9),_xll.PALO.EL($D$2,$D$3),_xll.PALO.EL($E$2,$E$3),_xll.PALO.EL($I$2,$I$3),_xll.PALO.EL($F$2,$F$3),_xll.PALO.EL($G$2,$G$3),_xll.PALO.EL("Transport",BK$8),_xll.PALO.EL($H$2,$H$3),_xll.PALO.EL("Position",BK$7))</f>
        <v>156052.5</v>
      </c>
      <c r="BL9" s="243">
        <f ca="1">_xll.PALO.DATA($B$2,$B$3,_xll.PALO.EL("Time",BL$6),_xll.PALO.EL("Partner",$B9),_xll.PALO.EL($D$2,$D$3),_xll.PALO.EL($E$2,$E$3),_xll.PALO.EL($I$2,$I$3),_xll.PALO.EL($F$2,$F$3),_xll.PALO.EL($G$2,$G$3),_xll.PALO.EL("Transport",BL$8),_xll.PALO.EL($H$2,$H$3),_xll.PALO.EL("Position",BL$7))</f>
        <v>31788.03</v>
      </c>
      <c r="BM9" s="243">
        <f ca="1">_xll.PALO.DATA($B$2,$B$3,_xll.PALO.EL("Time",BM$6),_xll.PALO.EL("Partner",$B9),_xll.PALO.EL($D$2,$D$3),_xll.PALO.EL($E$2,$E$3),_xll.PALO.EL($I$2,$I$3),_xll.PALO.EL($F$2,$F$3),_xll.PALO.EL($G$2,$G$3),_xll.PALO.EL("Transport",BM$8),_xll.PALO.EL($H$2,$H$3),_xll.PALO.EL("Position",BM$7))</f>
        <v>281966.53999999998</v>
      </c>
      <c r="BN9" s="243">
        <f ca="1">_xll.PALO.DATA($B$2,$B$3,_xll.PALO.EL("Time",BN$6),_xll.PALO.EL("Partner",$B9),_xll.PALO.EL($D$2,$D$3),_xll.PALO.EL($E$2,$E$3),_xll.PALO.EL($I$2,$I$3),_xll.PALO.EL($F$2,$F$3),_xll.PALO.EL($G$2,$G$3),_xll.PALO.EL("Transport",BN$8),_xll.PALO.EL($H$2,$H$3),_xll.PALO.EL("Position",BN$7))</f>
        <v>57436.84</v>
      </c>
      <c r="BO9" s="243">
        <f ca="1">_xll.PALO.DATA($B$2,$B$3,_xll.PALO.EL("Time",BO$6),_xll.PALO.EL("Partner",$B9),_xll.PALO.EL($D$2,$D$3),_xll.PALO.EL($E$2,$E$3),_xll.PALO.EL($I$2,$I$3),_xll.PALO.EL($F$2,$F$3),_xll.PALO.EL($G$2,$G$3),_xll.PALO.EL("Transport",BO$8),_xll.PALO.EL($H$2,$H$3),_xll.PALO.EL("Position",BO$7))</f>
        <v>1.3900000000000001</v>
      </c>
      <c r="BP9" s="243">
        <f ca="1">_xll.PALO.DATA($B$2,$B$3,_xll.PALO.EL("Time",BP$6),_xll.PALO.EL("Partner",$B9),_xll.PALO.EL($D$2,$D$3),_xll.PALO.EL($E$2,$E$3),_xll.PALO.EL($I$2,$I$3),_xll.PALO.EL($F$2,$F$3),_xll.PALO.EL($G$2,$G$3),_xll.PALO.EL("Transport",BP$8),_xll.PALO.EL($H$2,$H$3),_xll.PALO.EL("Position",BP$7))</f>
        <v>3.08</v>
      </c>
      <c r="BQ9" s="242">
        <f ca="1">_xll.PALO.DATA($B$2,$B$3,_xll.PALO.EL("Time",BQ$6),_xll.PALO.EL("Partner",$B9),_xll.PALO.EL($D$2,$D$3),_xll.PALO.EL($E$2,$E$3),_xll.PALO.EL($I$2,$I$3),_xll.PALO.EL($F$2,$F$3),_xll.PALO.EL($G$2,$G$3),_xll.PALO.EL("Transport",BQ$8),_xll.PALO.EL($H$2,$H$3),_xll.PALO.EL("Position",BQ$7))</f>
        <v>163445.29999999999</v>
      </c>
      <c r="BR9" s="243">
        <f ca="1">_xll.PALO.DATA($B$2,$B$3,_xll.PALO.EL("Time",BR$6),_xll.PALO.EL("Partner",$B9),_xll.PALO.EL($D$2,$D$3),_xll.PALO.EL($E$2,$E$3),_xll.PALO.EL($I$2,$I$3),_xll.PALO.EL($F$2,$F$3),_xll.PALO.EL($G$2,$G$3),_xll.PALO.EL("Transport",BR$8),_xll.PALO.EL($H$2,$H$3),_xll.PALO.EL("Position",BR$7))</f>
        <v>33789.99</v>
      </c>
      <c r="BS9" s="243">
        <f ca="1">_xll.PALO.DATA($B$2,$B$3,_xll.PALO.EL("Time",BS$6),_xll.PALO.EL("Partner",$B9),_xll.PALO.EL($D$2,$D$3),_xll.PALO.EL($E$2,$E$3),_xll.PALO.EL($I$2,$I$3),_xll.PALO.EL($F$2,$F$3),_xll.PALO.EL($G$2,$G$3),_xll.PALO.EL("Transport",BS$8),_xll.PALO.EL($H$2,$H$3),_xll.PALO.EL("Position",BS$7))</f>
        <v>269270.81</v>
      </c>
      <c r="BT9" s="243">
        <f ca="1">_xll.PALO.DATA($B$2,$B$3,_xll.PALO.EL("Time",BT$6),_xll.PALO.EL("Partner",$B9),_xll.PALO.EL($D$2,$D$3),_xll.PALO.EL($E$2,$E$3),_xll.PALO.EL($I$2,$I$3),_xll.PALO.EL($F$2,$F$3),_xll.PALO.EL($G$2,$G$3),_xll.PALO.EL("Transport",BT$8),_xll.PALO.EL($H$2,$H$3),_xll.PALO.EL("Position",BT$7))</f>
        <v>55667.9</v>
      </c>
      <c r="BU9" s="243">
        <f ca="1">_xll.PALO.DATA($B$2,$B$3,_xll.PALO.EL("Time",BU$6),_xll.PALO.EL("Partner",$B9),_xll.PALO.EL($D$2,$D$3),_xll.PALO.EL($E$2,$E$3),_xll.PALO.EL($I$2,$I$3),_xll.PALO.EL($F$2,$F$3),_xll.PALO.EL($G$2,$G$3),_xll.PALO.EL("Transport",BU$8),_xll.PALO.EL($H$2,$H$3),_xll.PALO.EL("Position",BU$7))</f>
        <v>1.3865000000000001</v>
      </c>
      <c r="BV9" s="243">
        <f ca="1">_xll.PALO.DATA($B$2,$B$3,_xll.PALO.EL("Time",BV$6),_xll.PALO.EL("Partner",$B9),_xll.PALO.EL($D$2,$D$3),_xll.PALO.EL($E$2,$E$3),_xll.PALO.EL($I$2,$I$3),_xll.PALO.EL($F$2,$F$3),_xll.PALO.EL($G$2,$G$3),_xll.PALO.EL("Transport",BV$8),_xll.PALO.EL($H$2,$H$3),_xll.PALO.EL("Position",BV$7))</f>
        <v>3.08</v>
      </c>
    </row>
    <row r="10" spans="2:74" ht="16" x14ac:dyDescent="0.45">
      <c r="C10" s="242"/>
      <c r="D10" s="243"/>
      <c r="E10" s="242"/>
      <c r="F10" s="243"/>
      <c r="G10" s="242"/>
      <c r="H10" s="243"/>
      <c r="I10" s="242"/>
      <c r="J10" s="243"/>
      <c r="K10" s="242"/>
      <c r="L10" s="243"/>
      <c r="M10" s="242"/>
      <c r="N10" s="243"/>
      <c r="O10" s="242"/>
      <c r="P10" s="243"/>
      <c r="Q10" s="242"/>
      <c r="R10" s="243"/>
      <c r="S10" s="242"/>
      <c r="T10" s="243"/>
      <c r="U10" s="242"/>
      <c r="V10" s="243"/>
      <c r="W10" s="242"/>
      <c r="X10" s="243"/>
      <c r="Y10" s="242"/>
      <c r="Z10" s="243"/>
      <c r="AA10" s="242"/>
      <c r="AB10" s="243"/>
      <c r="AC10" s="242"/>
      <c r="AD10" s="243"/>
      <c r="AE10" s="242"/>
      <c r="AF10" s="243"/>
      <c r="AG10" s="242"/>
      <c r="AH10" s="243"/>
      <c r="AI10" s="242"/>
      <c r="AJ10" s="243"/>
      <c r="AK10" s="242"/>
      <c r="AL10" s="243"/>
      <c r="AM10" s="242"/>
      <c r="AN10" s="243"/>
      <c r="AO10" s="242"/>
      <c r="AP10" s="243"/>
      <c r="AQ10" s="242"/>
      <c r="AR10" s="243"/>
      <c r="AS10" s="242"/>
      <c r="AT10" s="243"/>
      <c r="AU10" s="242"/>
      <c r="AV10" s="243"/>
      <c r="AW10" s="242"/>
      <c r="AX10" s="243"/>
      <c r="AY10" s="242"/>
      <c r="AZ10" s="243"/>
      <c r="BA10" s="242"/>
      <c r="BB10" s="243"/>
      <c r="BC10" s="242"/>
      <c r="BD10" s="243"/>
      <c r="BE10" s="242"/>
      <c r="BF10" s="243"/>
      <c r="BG10" s="242"/>
      <c r="BH10" s="243"/>
      <c r="BI10" s="242"/>
      <c r="BJ10" s="243"/>
      <c r="BK10" s="242"/>
      <c r="BL10" s="243"/>
      <c r="BM10" s="242"/>
      <c r="BN10" s="243"/>
      <c r="BO10" s="242"/>
      <c r="BP10" s="243"/>
      <c r="BQ10" s="242"/>
      <c r="BR10" s="243"/>
      <c r="BS10" s="242"/>
      <c r="BT10" s="243"/>
      <c r="BU10" s="242"/>
      <c r="BV10" s="243"/>
    </row>
    <row r="11" spans="2:74" ht="16.5" thickBot="1" x14ac:dyDescent="0.5">
      <c r="B11"/>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c r="AW11" s="242"/>
      <c r="AX11" s="242"/>
      <c r="AY11" s="242"/>
      <c r="AZ11" s="242"/>
      <c r="BA11" s="242"/>
      <c r="BB11" s="242"/>
      <c r="BC11" s="242"/>
      <c r="BD11" s="242"/>
      <c r="BE11" s="242"/>
      <c r="BF11" s="242"/>
      <c r="BG11" s="242"/>
      <c r="BH11" s="242"/>
      <c r="BI11" s="242"/>
      <c r="BJ11" s="242"/>
      <c r="BK11" s="242"/>
      <c r="BL11" s="242"/>
      <c r="BM11" s="242"/>
      <c r="BN11" s="242"/>
      <c r="BO11" s="242"/>
      <c r="BP11" s="242"/>
      <c r="BQ11" s="242"/>
      <c r="BR11" s="242"/>
      <c r="BS11" s="242"/>
      <c r="BT11" s="242"/>
      <c r="BU11" s="242"/>
      <c r="BV11" s="242"/>
    </row>
    <row r="12" spans="2:74" ht="7.5" customHeight="1" x14ac:dyDescent="0.45">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c r="AY12" s="244"/>
      <c r="AZ12" s="244"/>
      <c r="BA12" s="244"/>
      <c r="BB12" s="244"/>
      <c r="BC12" s="244"/>
      <c r="BD12" s="244"/>
      <c r="BE12" s="244"/>
      <c r="BF12" s="244"/>
      <c r="BG12" s="244"/>
      <c r="BH12" s="244"/>
      <c r="BI12" s="244"/>
      <c r="BJ12" s="244"/>
      <c r="BK12" s="244"/>
      <c r="BL12" s="244"/>
      <c r="BM12" s="244"/>
      <c r="BN12" s="244"/>
      <c r="BO12" s="244"/>
      <c r="BP12" s="244"/>
      <c r="BQ12" s="244"/>
      <c r="BR12" s="244"/>
      <c r="BS12" s="244"/>
      <c r="BT12" s="244"/>
      <c r="BU12" s="244"/>
      <c r="BV12" s="244"/>
    </row>
    <row r="13" spans="2:74" ht="16" x14ac:dyDescent="0.45">
      <c r="B13" s="245"/>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c r="AW13" s="246"/>
      <c r="AX13" s="246"/>
      <c r="AY13" s="246"/>
      <c r="AZ13" s="246"/>
      <c r="BA13" s="246"/>
      <c r="BB13" s="246"/>
      <c r="BC13" s="246"/>
      <c r="BD13" s="246"/>
      <c r="BE13" s="246"/>
      <c r="BF13" s="246"/>
      <c r="BG13" s="246"/>
      <c r="BH13" s="246"/>
      <c r="BI13" s="246"/>
      <c r="BJ13" s="246"/>
      <c r="BK13" s="246"/>
      <c r="BL13" s="246"/>
      <c r="BM13" s="246"/>
      <c r="BN13" s="246"/>
      <c r="BO13" s="246"/>
      <c r="BP13" s="246"/>
      <c r="BQ13" s="246"/>
      <c r="BR13" s="246"/>
      <c r="BS13" s="246"/>
      <c r="BT13" s="246"/>
      <c r="BU13" s="246"/>
      <c r="BV13" s="246"/>
    </row>
  </sheetData>
  <mergeCells count="2">
    <mergeCell ref="B2:BV2"/>
    <mergeCell ref="B3:BV3"/>
  </mergeCells>
  <dataValidations count="1">
    <dataValidation type="custom" allowBlank="1" showInputMessage="1" error="f9feff3c209a460d87eb02ec30026cdd" sqref="B3" xr:uid="{B9E4A0E7-94C4-4F54-8CA9-4267F49694E5}">
      <formula1>TRUE</formula1>
    </dataValidation>
  </dataValidations>
  <pageMargins left="0.7" right="0.7" top="0.75" bottom="0.75" header="0.3" footer="0.3"/>
  <pageSetup orientation="portrait" r:id="rId1"/>
  <customProperties>
    <customPr name="jedoxview_f9feff3c209a460d87eb02ec30026cd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4756F-E541-4972-BDC7-8724FC2072A2}">
  <sheetPr>
    <tabColor theme="7" tint="0.79998168889431442"/>
    <pageSetUpPr fitToPage="1"/>
  </sheetPr>
  <dimension ref="A1:K58"/>
  <sheetViews>
    <sheetView zoomScale="85" zoomScaleNormal="85" workbookViewId="0">
      <selection activeCell="L31" sqref="L31"/>
    </sheetView>
  </sheetViews>
  <sheetFormatPr defaultRowHeight="14.5" x14ac:dyDescent="0.35"/>
  <cols>
    <col min="1" max="1" width="22.1796875" customWidth="1"/>
    <col min="2" max="2" width="43.7265625" customWidth="1"/>
    <col min="3" max="3" width="10.26953125" customWidth="1"/>
    <col min="4" max="4" width="12" customWidth="1"/>
    <col min="5" max="5" width="13.7265625" customWidth="1"/>
    <col min="6" max="6" width="10.81640625" customWidth="1"/>
    <col min="7" max="7" width="10.26953125" customWidth="1"/>
    <col min="8" max="8" width="10" hidden="1" customWidth="1"/>
    <col min="9" max="9" width="11.7265625" hidden="1" customWidth="1"/>
    <col min="10" max="10" width="9.54296875" hidden="1" customWidth="1"/>
    <col min="11" max="11" width="0" hidden="1" customWidth="1"/>
  </cols>
  <sheetData>
    <row r="1" spans="1:11" ht="41.25" customHeight="1" x14ac:dyDescent="0.35">
      <c r="A1" s="454" t="s">
        <v>68</v>
      </c>
      <c r="B1" s="454"/>
      <c r="C1" s="454"/>
      <c r="D1" s="454"/>
      <c r="E1" s="454"/>
      <c r="F1" s="454"/>
      <c r="G1" s="454"/>
    </row>
    <row r="2" spans="1:11" ht="29.5" thickBot="1" x14ac:dyDescent="0.4">
      <c r="A2" s="3" t="s">
        <v>3</v>
      </c>
      <c r="B2" s="13"/>
      <c r="C2" s="14" t="s">
        <v>4</v>
      </c>
      <c r="D2" s="14" t="s">
        <v>0</v>
      </c>
      <c r="E2" s="15" t="s">
        <v>10</v>
      </c>
      <c r="F2" s="14" t="s">
        <v>1</v>
      </c>
      <c r="G2" s="14" t="s">
        <v>2</v>
      </c>
      <c r="H2" s="100"/>
      <c r="I2" s="103" t="s">
        <v>92</v>
      </c>
    </row>
    <row r="3" spans="1:11" ht="15" thickBot="1" x14ac:dyDescent="0.4">
      <c r="A3" s="12" t="s">
        <v>14</v>
      </c>
      <c r="B3" s="24" t="s">
        <v>51</v>
      </c>
      <c r="C3" s="25"/>
      <c r="D3" s="26">
        <f>(D10-D9)*D13</f>
        <v>-650.86077600002432</v>
      </c>
      <c r="E3" s="26">
        <f>(E10-E9)*E13</f>
        <v>-1165.7668399999977</v>
      </c>
      <c r="F3" s="26">
        <f>(F10-F9)*F13</f>
        <v>0</v>
      </c>
      <c r="G3" s="27">
        <f>(G10-G9)*G13</f>
        <v>0</v>
      </c>
      <c r="H3" s="100"/>
      <c r="I3" s="100"/>
    </row>
    <row r="4" spans="1:11" x14ac:dyDescent="0.35">
      <c r="A4" s="460" t="s">
        <v>69</v>
      </c>
      <c r="B4" s="23" t="s">
        <v>11</v>
      </c>
      <c r="C4" s="458" t="s">
        <v>5</v>
      </c>
      <c r="D4" s="69">
        <v>43</v>
      </c>
      <c r="E4" s="70">
        <v>13</v>
      </c>
      <c r="F4" s="69">
        <v>21</v>
      </c>
      <c r="G4" s="71"/>
      <c r="H4" s="100"/>
      <c r="I4" s="100"/>
    </row>
    <row r="5" spans="1:11" x14ac:dyDescent="0.35">
      <c r="A5" s="461"/>
      <c r="B5" s="16" t="s">
        <v>48</v>
      </c>
      <c r="C5" s="458"/>
      <c r="D5" s="72">
        <v>13150</v>
      </c>
      <c r="E5" s="72">
        <v>8840</v>
      </c>
      <c r="F5" s="72">
        <v>7840</v>
      </c>
      <c r="G5" s="73"/>
      <c r="H5" s="100"/>
      <c r="I5" s="100"/>
    </row>
    <row r="6" spans="1:11" x14ac:dyDescent="0.35">
      <c r="A6" s="461"/>
      <c r="B6" s="16" t="s">
        <v>49</v>
      </c>
      <c r="C6" s="458"/>
      <c r="D6" s="72">
        <f>D5+D7-D8</f>
        <v>13096</v>
      </c>
      <c r="E6" s="72">
        <f>E5+E7-E8</f>
        <v>8660</v>
      </c>
      <c r="F6" s="72">
        <f>F5+F7-F8</f>
        <v>7840</v>
      </c>
      <c r="G6" s="73">
        <f>G5+G7-G8</f>
        <v>0</v>
      </c>
      <c r="H6" s="100"/>
      <c r="I6" s="100"/>
    </row>
    <row r="7" spans="1:11" x14ac:dyDescent="0.35">
      <c r="A7" s="461"/>
      <c r="B7" s="17" t="s">
        <v>44</v>
      </c>
      <c r="C7" s="458"/>
      <c r="D7" s="72">
        <v>6</v>
      </c>
      <c r="E7" s="72"/>
      <c r="F7" s="72"/>
      <c r="G7" s="73"/>
      <c r="H7" s="100"/>
      <c r="I7" s="100"/>
    </row>
    <row r="8" spans="1:11" x14ac:dyDescent="0.35">
      <c r="A8" s="461"/>
      <c r="B8" s="17" t="s">
        <v>45</v>
      </c>
      <c r="C8" s="459"/>
      <c r="D8" s="72">
        <v>60</v>
      </c>
      <c r="E8" s="72">
        <v>180</v>
      </c>
      <c r="F8" s="72"/>
      <c r="G8" s="73"/>
      <c r="H8" s="100"/>
      <c r="I8" s="100"/>
    </row>
    <row r="9" spans="1:11" x14ac:dyDescent="0.35">
      <c r="A9" s="461"/>
      <c r="B9" s="16" t="s">
        <v>42</v>
      </c>
      <c r="C9" s="455" t="s">
        <v>7</v>
      </c>
      <c r="D9" s="72">
        <v>189950.31999999998</v>
      </c>
      <c r="E9" s="72">
        <v>85294.299999999974</v>
      </c>
      <c r="F9" s="72">
        <v>55825.84</v>
      </c>
      <c r="G9" s="73"/>
      <c r="H9" s="100"/>
      <c r="I9" s="100"/>
    </row>
    <row r="10" spans="1:11" x14ac:dyDescent="0.35">
      <c r="A10" s="461"/>
      <c r="B10" s="16" t="s">
        <v>50</v>
      </c>
      <c r="C10" s="456"/>
      <c r="D10" s="72">
        <f>D9+D11-D12</f>
        <v>189546.45999999996</v>
      </c>
      <c r="E10" s="72">
        <f>E9+E11-E12</f>
        <v>83890.099999999977</v>
      </c>
      <c r="F10" s="72">
        <f>F9+F11-F12</f>
        <v>55825.84</v>
      </c>
      <c r="G10" s="73">
        <f>G9+G11-G12</f>
        <v>0</v>
      </c>
      <c r="H10" s="100"/>
      <c r="I10" s="101">
        <f>D10+E10</f>
        <v>273436.55999999994</v>
      </c>
      <c r="J10" s="102">
        <f ca="1">atskaites_jedox!BG9</f>
        <v>273129.09000000003</v>
      </c>
      <c r="K10" s="102">
        <f ca="1">atskaites_jedox!BH9</f>
        <v>55576.4</v>
      </c>
    </row>
    <row r="11" spans="1:11" x14ac:dyDescent="0.35">
      <c r="A11" s="461"/>
      <c r="B11" s="18" t="s">
        <v>46</v>
      </c>
      <c r="C11" s="456"/>
      <c r="D11" s="72">
        <v>175.74</v>
      </c>
      <c r="E11" s="72">
        <v>0</v>
      </c>
      <c r="F11" s="72">
        <v>0</v>
      </c>
      <c r="G11" s="73"/>
      <c r="H11" s="100"/>
      <c r="I11" s="100"/>
    </row>
    <row r="12" spans="1:11" x14ac:dyDescent="0.35">
      <c r="A12" s="462"/>
      <c r="B12" s="18" t="s">
        <v>47</v>
      </c>
      <c r="C12" s="457"/>
      <c r="D12" s="72">
        <v>579.6</v>
      </c>
      <c r="E12" s="72">
        <v>1404.2000000000003</v>
      </c>
      <c r="F12" s="72">
        <v>0</v>
      </c>
      <c r="G12" s="73"/>
      <c r="H12" s="100"/>
      <c r="I12" s="100"/>
    </row>
    <row r="13" spans="1:11" ht="15" thickBot="1" x14ac:dyDescent="0.4">
      <c r="A13" s="29" t="s">
        <v>70</v>
      </c>
      <c r="B13" s="19" t="s">
        <v>43</v>
      </c>
      <c r="C13" s="20" t="s">
        <v>8</v>
      </c>
      <c r="D13" s="99">
        <v>1.6115999999999999</v>
      </c>
      <c r="E13" s="99">
        <v>0.83020000000000005</v>
      </c>
      <c r="F13" s="99">
        <v>3.0741999999999998</v>
      </c>
      <c r="G13" s="75"/>
      <c r="H13" s="100"/>
      <c r="I13" s="100"/>
      <c r="J13" s="62">
        <f ca="1">atskaites_jedox!BI9</f>
        <v>1.3722000000000001</v>
      </c>
      <c r="K13" s="62">
        <f ca="1">atskaites_jedox!BJ9</f>
        <v>3.07</v>
      </c>
    </row>
    <row r="14" spans="1:11" ht="29" thickBot="1" x14ac:dyDescent="0.4">
      <c r="A14" s="7" t="s">
        <v>15</v>
      </c>
      <c r="B14" s="8" t="s">
        <v>41</v>
      </c>
      <c r="C14" s="9"/>
      <c r="D14" s="10">
        <f>SUM(D18*D27,D19*D28)</f>
        <v>10.65574</v>
      </c>
      <c r="E14" s="10">
        <f>SUM(E18*E27,E19*E28)</f>
        <v>7.2198500000000001</v>
      </c>
      <c r="F14" s="10">
        <f>SUM(F16*F25,F17*F26,F19*F28,F20*F29,F23*F32,F21*F30)</f>
        <v>133.11000000000001</v>
      </c>
      <c r="G14" s="11" t="e">
        <f>SUM(#REF!*#REF!,G19*G28,G22*#REF!,#REF!*#REF!,#REF!*#REF!,#REF!*#REF!)</f>
        <v>#REF!</v>
      </c>
      <c r="H14" s="100"/>
      <c r="I14" s="100"/>
    </row>
    <row r="15" spans="1:11" ht="30" customHeight="1" x14ac:dyDescent="0.35">
      <c r="A15" s="467" t="s">
        <v>69</v>
      </c>
      <c r="B15" s="45" t="s">
        <v>39</v>
      </c>
      <c r="C15" s="56"/>
      <c r="D15" s="46"/>
      <c r="E15" s="46"/>
      <c r="F15" s="46"/>
      <c r="G15" s="47"/>
      <c r="H15" s="100"/>
      <c r="I15" s="100"/>
    </row>
    <row r="16" spans="1:11" x14ac:dyDescent="0.35">
      <c r="A16" s="468"/>
      <c r="B16" s="48" t="s">
        <v>61</v>
      </c>
      <c r="C16" s="59" t="s">
        <v>25</v>
      </c>
      <c r="D16" s="46"/>
      <c r="E16" s="46"/>
      <c r="F16" s="60">
        <v>6</v>
      </c>
      <c r="G16" s="47"/>
      <c r="H16" s="100"/>
      <c r="I16" s="100"/>
    </row>
    <row r="17" spans="1:9" x14ac:dyDescent="0.35">
      <c r="A17" s="468"/>
      <c r="B17" s="48" t="s">
        <v>71</v>
      </c>
      <c r="C17" s="59" t="s">
        <v>25</v>
      </c>
      <c r="D17" s="46"/>
      <c r="E17" s="46"/>
      <c r="F17" s="60">
        <v>5</v>
      </c>
      <c r="G17" s="47"/>
      <c r="H17" s="100"/>
      <c r="I17" s="100"/>
    </row>
    <row r="18" spans="1:9" x14ac:dyDescent="0.35">
      <c r="A18" s="468"/>
      <c r="B18" s="48" t="s">
        <v>72</v>
      </c>
      <c r="C18" s="59" t="s">
        <v>59</v>
      </c>
      <c r="D18" s="50">
        <v>1.2644</v>
      </c>
      <c r="E18" s="50">
        <v>1.1154999999999999</v>
      </c>
      <c r="F18" s="60"/>
      <c r="G18" s="47"/>
      <c r="H18" s="100"/>
      <c r="I18" s="100"/>
    </row>
    <row r="19" spans="1:9" x14ac:dyDescent="0.35">
      <c r="A19" s="468"/>
      <c r="B19" s="48" t="s">
        <v>12</v>
      </c>
      <c r="C19" s="59" t="s">
        <v>59</v>
      </c>
      <c r="D19" s="49">
        <v>79</v>
      </c>
      <c r="E19" s="49">
        <v>35</v>
      </c>
      <c r="F19" s="49">
        <v>50</v>
      </c>
      <c r="G19" s="51"/>
      <c r="H19" s="100"/>
      <c r="I19" s="100"/>
    </row>
    <row r="20" spans="1:9" x14ac:dyDescent="0.35">
      <c r="A20" s="468"/>
      <c r="B20" s="48" t="s">
        <v>73</v>
      </c>
      <c r="C20" s="59" t="s">
        <v>74</v>
      </c>
      <c r="D20" s="50"/>
      <c r="E20" s="50"/>
      <c r="F20" s="49">
        <v>27</v>
      </c>
      <c r="G20" s="51"/>
      <c r="H20" s="100"/>
      <c r="I20" s="100"/>
    </row>
    <row r="21" spans="1:9" x14ac:dyDescent="0.35">
      <c r="A21" s="468"/>
      <c r="B21" s="48" t="s">
        <v>62</v>
      </c>
      <c r="C21" s="59" t="s">
        <v>60</v>
      </c>
      <c r="D21" s="50"/>
      <c r="E21" s="50"/>
      <c r="F21" s="49">
        <v>233</v>
      </c>
      <c r="G21" s="51"/>
      <c r="H21" s="100"/>
      <c r="I21" s="100"/>
    </row>
    <row r="22" spans="1:9" x14ac:dyDescent="0.35">
      <c r="A22" s="468"/>
      <c r="B22" s="61" t="s">
        <v>75</v>
      </c>
      <c r="C22" s="59"/>
      <c r="D22" s="50"/>
      <c r="E22" s="50"/>
      <c r="F22" s="50"/>
      <c r="G22" s="51"/>
      <c r="H22" s="100"/>
      <c r="I22" s="100"/>
    </row>
    <row r="23" spans="1:9" ht="15" thickBot="1" x14ac:dyDescent="0.4">
      <c r="A23" s="468"/>
      <c r="B23" s="48" t="s">
        <v>76</v>
      </c>
      <c r="C23" s="59" t="s">
        <v>59</v>
      </c>
      <c r="D23" s="50"/>
      <c r="E23" s="50"/>
      <c r="F23" s="49">
        <v>4</v>
      </c>
      <c r="G23" s="51"/>
      <c r="H23" s="100"/>
      <c r="I23" s="100"/>
    </row>
    <row r="24" spans="1:9" ht="28.5" x14ac:dyDescent="0.35">
      <c r="A24" s="468"/>
      <c r="B24" s="53" t="s">
        <v>40</v>
      </c>
      <c r="C24" s="466" t="s">
        <v>26</v>
      </c>
      <c r="D24" s="54"/>
      <c r="E24" s="54"/>
      <c r="F24" s="54"/>
      <c r="G24" s="55"/>
      <c r="H24" s="100"/>
      <c r="I24" s="100"/>
    </row>
    <row r="25" spans="1:9" x14ac:dyDescent="0.35">
      <c r="A25" s="468"/>
      <c r="B25" s="48" t="s">
        <v>57</v>
      </c>
      <c r="C25" s="466"/>
      <c r="D25" s="46"/>
      <c r="E25" s="46"/>
      <c r="F25" s="46">
        <v>2.4700000000000002</v>
      </c>
      <c r="G25" s="47"/>
      <c r="H25" s="100"/>
      <c r="I25" s="100"/>
    </row>
    <row r="26" spans="1:9" x14ac:dyDescent="0.35">
      <c r="A26" s="468"/>
      <c r="B26" s="48" t="s">
        <v>58</v>
      </c>
      <c r="C26" s="466"/>
      <c r="D26" s="46"/>
      <c r="E26" s="46"/>
      <c r="F26" s="46">
        <v>2.86</v>
      </c>
      <c r="G26" s="47"/>
      <c r="H26" s="100"/>
      <c r="I26" s="100"/>
    </row>
    <row r="27" spans="1:9" x14ac:dyDescent="0.35">
      <c r="A27" s="468"/>
      <c r="B27" s="48" t="s">
        <v>72</v>
      </c>
      <c r="C27" s="466"/>
      <c r="D27" s="46">
        <v>4.5</v>
      </c>
      <c r="E27" s="46">
        <v>4.5</v>
      </c>
      <c r="F27" s="46"/>
      <c r="G27" s="47"/>
      <c r="H27" s="100"/>
      <c r="I27" s="100"/>
    </row>
    <row r="28" spans="1:9" x14ac:dyDescent="0.35">
      <c r="A28" s="468"/>
      <c r="B28" s="48" t="s">
        <v>12</v>
      </c>
      <c r="C28" s="466"/>
      <c r="D28" s="50">
        <v>6.2859999999999999E-2</v>
      </c>
      <c r="E28" s="50">
        <v>6.2859999999999999E-2</v>
      </c>
      <c r="F28" s="50">
        <v>0.36</v>
      </c>
      <c r="G28" s="51"/>
      <c r="H28" s="100"/>
      <c r="I28" s="100"/>
    </row>
    <row r="29" spans="1:9" x14ac:dyDescent="0.35">
      <c r="A29" s="468"/>
      <c r="B29" s="48" t="s">
        <v>73</v>
      </c>
      <c r="C29" s="466"/>
      <c r="D29" s="50"/>
      <c r="E29" s="50"/>
      <c r="F29" s="50">
        <v>0.68</v>
      </c>
      <c r="G29" s="51"/>
      <c r="H29" s="100"/>
      <c r="I29" s="100"/>
    </row>
    <row r="30" spans="1:9" x14ac:dyDescent="0.35">
      <c r="A30" s="468"/>
      <c r="B30" s="48" t="s">
        <v>54</v>
      </c>
      <c r="C30" s="466"/>
      <c r="D30" s="50"/>
      <c r="E30" s="50"/>
      <c r="F30" s="50">
        <v>0.23</v>
      </c>
      <c r="G30" s="51"/>
      <c r="H30" s="100"/>
      <c r="I30" s="100"/>
    </row>
    <row r="31" spans="1:9" x14ac:dyDescent="0.35">
      <c r="A31" s="468"/>
      <c r="B31" s="61" t="s">
        <v>75</v>
      </c>
      <c r="C31" s="466"/>
      <c r="D31" s="50"/>
      <c r="E31" s="50"/>
      <c r="F31" s="50"/>
      <c r="G31" s="51"/>
      <c r="H31" s="100"/>
      <c r="I31" s="100"/>
    </row>
    <row r="32" spans="1:9" ht="15" thickBot="1" x14ac:dyDescent="0.4">
      <c r="A32" s="468"/>
      <c r="B32" s="48" t="s">
        <v>76</v>
      </c>
      <c r="C32" s="466"/>
      <c r="D32" s="50"/>
      <c r="E32" s="50"/>
      <c r="F32" s="50">
        <v>3.51</v>
      </c>
      <c r="G32" s="51"/>
      <c r="H32" s="100"/>
      <c r="I32" s="100"/>
    </row>
    <row r="33" spans="1:11" x14ac:dyDescent="0.35">
      <c r="A33" s="21" t="s">
        <v>27</v>
      </c>
      <c r="B33" s="30" t="s">
        <v>53</v>
      </c>
      <c r="C33" s="31"/>
      <c r="D33" s="32">
        <f>((D36/D37)-(D34/D35))*D35</f>
        <v>45980.561726162974</v>
      </c>
      <c r="E33" s="32">
        <f>((E36/E37)-(E34/E35))*E35</f>
        <v>18645.098511471824</v>
      </c>
      <c r="F33" s="32">
        <f>((F36/F37)-(F34/F35))*F35</f>
        <v>14026.174224572578</v>
      </c>
      <c r="G33" s="33" t="e">
        <f>((G36/G37)-(G34/G35))*G35</f>
        <v>#DIV/0!</v>
      </c>
      <c r="H33" s="101">
        <f>SUM(D33:F33)</f>
        <v>78651.834462207378</v>
      </c>
      <c r="I33" s="101"/>
    </row>
    <row r="34" spans="1:11" ht="56.5" x14ac:dyDescent="0.35">
      <c r="A34" s="451" t="s">
        <v>70</v>
      </c>
      <c r="B34" s="34" t="s">
        <v>36</v>
      </c>
      <c r="C34" s="43" t="s">
        <v>30</v>
      </c>
      <c r="D34" s="63">
        <v>106290.02</v>
      </c>
      <c r="E34" s="64">
        <v>42792.34</v>
      </c>
      <c r="F34" s="65">
        <v>34312.14</v>
      </c>
      <c r="G34" s="35"/>
      <c r="H34" s="101">
        <f>SUM(D34:G34)</f>
        <v>183394.5</v>
      </c>
      <c r="I34" s="101">
        <f>D34+E34</f>
        <v>149082.35999999999</v>
      </c>
      <c r="J34" s="102">
        <f ca="1">atskaites_jedox!BE9</f>
        <v>150512.01</v>
      </c>
      <c r="K34" s="102">
        <f ca="1">atskaites_jedox!BF9</f>
        <v>30631.34</v>
      </c>
    </row>
    <row r="35" spans="1:11" x14ac:dyDescent="0.35">
      <c r="A35" s="452"/>
      <c r="B35" s="34" t="s">
        <v>52</v>
      </c>
      <c r="C35" s="43" t="s">
        <v>7</v>
      </c>
      <c r="D35" s="63">
        <f>D10</f>
        <v>189546.45999999996</v>
      </c>
      <c r="E35" s="63">
        <f>E10</f>
        <v>83890.099999999977</v>
      </c>
      <c r="F35" s="63">
        <f>F10</f>
        <v>55825.84</v>
      </c>
      <c r="G35" s="35"/>
      <c r="H35" s="101">
        <f>SUM(D35:G35)</f>
        <v>329262.39999999991</v>
      </c>
      <c r="I35" s="101">
        <f t="shared" ref="I35:I37" si="0">D35+E35</f>
        <v>273436.55999999994</v>
      </c>
      <c r="J35" s="102">
        <f ca="1">atskaites_jedox!BG9</f>
        <v>273129.09000000003</v>
      </c>
      <c r="K35" s="102">
        <f ca="1">atskaites_jedox!BH9</f>
        <v>55576.4</v>
      </c>
    </row>
    <row r="36" spans="1:11" ht="56.5" x14ac:dyDescent="0.35">
      <c r="A36" s="451" t="s">
        <v>77</v>
      </c>
      <c r="B36" s="34" t="s">
        <v>37</v>
      </c>
      <c r="C36" s="43" t="s">
        <v>30</v>
      </c>
      <c r="D36" s="63">
        <v>191644.13</v>
      </c>
      <c r="E36" s="66">
        <v>61663.18</v>
      </c>
      <c r="F36" s="66">
        <v>50074.54</v>
      </c>
      <c r="G36" s="35"/>
      <c r="H36" s="101">
        <f t="shared" ref="H36:H37" si="1">SUM(D36:G36)</f>
        <v>303381.84999999998</v>
      </c>
      <c r="I36" s="101">
        <f t="shared" si="0"/>
        <v>253307.31</v>
      </c>
      <c r="J36" s="102">
        <f ca="1">atskaites_jedox!I9</f>
        <v>266391.34999999998</v>
      </c>
      <c r="K36" s="102">
        <f ca="1">atskaites_jedox!J9</f>
        <v>47823.5</v>
      </c>
    </row>
    <row r="37" spans="1:11" ht="15" thickBot="1" x14ac:dyDescent="0.4">
      <c r="A37" s="452"/>
      <c r="B37" s="36" t="s">
        <v>38</v>
      </c>
      <c r="C37" s="28" t="s">
        <v>7</v>
      </c>
      <c r="D37" s="67">
        <v>238558.66320000004</v>
      </c>
      <c r="E37" s="68">
        <v>84198.34</v>
      </c>
      <c r="F37" s="68">
        <v>57831.004306983945</v>
      </c>
      <c r="G37" s="22"/>
      <c r="H37" s="101">
        <f t="shared" si="1"/>
        <v>380588.00750698399</v>
      </c>
      <c r="I37" s="101">
        <f t="shared" si="0"/>
        <v>322757.00320000004</v>
      </c>
      <c r="J37" s="102">
        <f ca="1">atskaites_jedox!K9</f>
        <v>322082.32</v>
      </c>
      <c r="K37" s="102">
        <f ca="1">atskaites_jedox!L9</f>
        <v>57831</v>
      </c>
    </row>
    <row r="38" spans="1:11" x14ac:dyDescent="0.35">
      <c r="A38" s="1"/>
      <c r="B38" s="1"/>
      <c r="C38" s="1"/>
      <c r="D38" s="1"/>
      <c r="E38" s="1"/>
      <c r="F38" s="1"/>
      <c r="G38" s="1"/>
    </row>
    <row r="39" spans="1:11" x14ac:dyDescent="0.35">
      <c r="A39" s="1"/>
      <c r="B39" s="1"/>
      <c r="C39" s="1"/>
      <c r="D39" s="1"/>
      <c r="E39" s="1"/>
      <c r="F39" s="1"/>
      <c r="G39" s="1"/>
    </row>
    <row r="40" spans="1:11" ht="15" thickBot="1" x14ac:dyDescent="0.4">
      <c r="A40" s="1"/>
      <c r="B40" s="38" t="s">
        <v>67</v>
      </c>
      <c r="C40" s="37"/>
      <c r="D40" s="37"/>
      <c r="E40" s="37"/>
      <c r="F40" s="37"/>
      <c r="G40" s="37"/>
    </row>
    <row r="41" spans="1:11" ht="15" thickTop="1" x14ac:dyDescent="0.35">
      <c r="A41" s="1"/>
      <c r="B41" s="1"/>
      <c r="C41" s="1"/>
      <c r="D41" s="1"/>
      <c r="E41" s="1"/>
      <c r="F41" s="1"/>
      <c r="G41" s="1"/>
    </row>
    <row r="42" spans="1:11" x14ac:dyDescent="0.35">
      <c r="A42" s="1"/>
      <c r="B42" s="1"/>
      <c r="C42" s="1"/>
      <c r="D42" s="1"/>
      <c r="E42" s="1"/>
      <c r="F42" s="1"/>
      <c r="G42" s="1"/>
    </row>
    <row r="43" spans="1:11" x14ac:dyDescent="0.35">
      <c r="A43" s="1" t="s">
        <v>9</v>
      </c>
      <c r="B43" s="1"/>
      <c r="C43" s="1"/>
      <c r="D43" s="1"/>
      <c r="E43" s="1"/>
      <c r="F43" s="1"/>
      <c r="G43" s="1"/>
    </row>
    <row r="44" spans="1:11" x14ac:dyDescent="0.35">
      <c r="A44" s="453" t="s">
        <v>24</v>
      </c>
      <c r="B44" s="453"/>
      <c r="C44" s="453"/>
      <c r="D44" s="453"/>
      <c r="E44" s="453"/>
      <c r="F44" s="453"/>
      <c r="G44" s="453"/>
    </row>
    <row r="45" spans="1:11" x14ac:dyDescent="0.35">
      <c r="A45" s="44" t="s">
        <v>23</v>
      </c>
      <c r="B45" s="44"/>
      <c r="C45" s="44"/>
      <c r="D45" s="44"/>
      <c r="E45" s="44"/>
      <c r="F45" s="44"/>
      <c r="G45" s="44"/>
    </row>
    <row r="46" spans="1:11" x14ac:dyDescent="0.35">
      <c r="A46" s="465" t="s">
        <v>16</v>
      </c>
      <c r="B46" s="465"/>
      <c r="C46" s="465"/>
      <c r="D46" s="465"/>
      <c r="E46" s="465"/>
      <c r="F46" s="465"/>
      <c r="G46" s="465"/>
    </row>
    <row r="47" spans="1:11" x14ac:dyDescent="0.35">
      <c r="A47" s="453" t="s">
        <v>18</v>
      </c>
      <c r="B47" s="453"/>
      <c r="C47" s="453"/>
      <c r="D47" s="453"/>
      <c r="E47" s="453"/>
      <c r="F47" s="453"/>
      <c r="G47" s="453"/>
    </row>
    <row r="48" spans="1:11" x14ac:dyDescent="0.35">
      <c r="A48" s="453" t="s">
        <v>31</v>
      </c>
      <c r="B48" s="453"/>
      <c r="C48" s="453"/>
      <c r="D48" s="453"/>
      <c r="E48" s="453"/>
      <c r="F48" s="453"/>
      <c r="G48" s="453"/>
    </row>
    <row r="49" spans="1:7" x14ac:dyDescent="0.35">
      <c r="A49" s="44"/>
      <c r="B49" s="44"/>
      <c r="C49" s="44"/>
      <c r="D49" s="44"/>
      <c r="E49" s="44"/>
      <c r="F49" s="44"/>
      <c r="G49" s="44"/>
    </row>
    <row r="50" spans="1:7" x14ac:dyDescent="0.35">
      <c r="A50" s="6" t="s">
        <v>17</v>
      </c>
      <c r="B50" s="44"/>
      <c r="C50" s="44"/>
      <c r="D50" s="44"/>
      <c r="E50" s="44"/>
      <c r="F50" s="44"/>
      <c r="G50" s="44"/>
    </row>
    <row r="51" spans="1:7" x14ac:dyDescent="0.35">
      <c r="A51" s="453" t="s">
        <v>32</v>
      </c>
      <c r="B51" s="453"/>
      <c r="C51" s="453"/>
      <c r="D51" s="453"/>
      <c r="E51" s="453"/>
      <c r="F51" s="453"/>
      <c r="G51" s="453"/>
    </row>
    <row r="52" spans="1:7" x14ac:dyDescent="0.35">
      <c r="A52" s="453" t="s">
        <v>19</v>
      </c>
      <c r="B52" s="453"/>
      <c r="C52" s="453"/>
      <c r="D52" s="453"/>
      <c r="E52" s="453"/>
      <c r="F52" s="453"/>
      <c r="G52" s="453"/>
    </row>
    <row r="53" spans="1:7" x14ac:dyDescent="0.35">
      <c r="A53" s="453" t="s">
        <v>21</v>
      </c>
      <c r="B53" s="453"/>
      <c r="C53" s="453"/>
      <c r="D53" s="453"/>
      <c r="E53" s="453"/>
      <c r="F53" s="453"/>
      <c r="G53" s="453"/>
    </row>
    <row r="54" spans="1:7" x14ac:dyDescent="0.35">
      <c r="A54" s="453" t="s">
        <v>33</v>
      </c>
      <c r="B54" s="453"/>
      <c r="C54" s="453"/>
      <c r="D54" s="453"/>
      <c r="E54" s="453"/>
      <c r="F54" s="453"/>
      <c r="G54" s="453"/>
    </row>
    <row r="55" spans="1:7" x14ac:dyDescent="0.35">
      <c r="A55" s="453" t="s">
        <v>20</v>
      </c>
      <c r="B55" s="453"/>
      <c r="C55" s="453"/>
      <c r="D55" s="453"/>
      <c r="E55" s="453"/>
      <c r="F55" s="453"/>
      <c r="G55" s="453"/>
    </row>
    <row r="56" spans="1:7" x14ac:dyDescent="0.35">
      <c r="A56" s="469" t="s">
        <v>22</v>
      </c>
      <c r="B56" s="469"/>
      <c r="C56" s="469"/>
      <c r="D56" s="469"/>
      <c r="E56" s="469"/>
      <c r="F56" s="469"/>
      <c r="G56" s="469"/>
    </row>
    <row r="57" spans="1:7" x14ac:dyDescent="0.35">
      <c r="A57" s="453" t="s">
        <v>34</v>
      </c>
      <c r="B57" s="453"/>
      <c r="C57" s="453"/>
      <c r="D57" s="453"/>
      <c r="E57" s="453"/>
      <c r="F57" s="453"/>
      <c r="G57" s="453"/>
    </row>
    <row r="58" spans="1:7" x14ac:dyDescent="0.35">
      <c r="A58" s="453" t="s">
        <v>35</v>
      </c>
      <c r="B58" s="453"/>
      <c r="C58" s="453"/>
      <c r="D58" s="453"/>
      <c r="E58" s="453"/>
      <c r="F58" s="453"/>
      <c r="G58" s="453"/>
    </row>
  </sheetData>
  <mergeCells count="20">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24:C32"/>
    <mergeCell ref="A34:A35"/>
    <mergeCell ref="A36:A37"/>
    <mergeCell ref="A44:G44"/>
    <mergeCell ref="A46:G46"/>
    <mergeCell ref="A47:G47"/>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B8C1C-8485-4F38-BD75-6A9460B97D16}">
  <sheetPr>
    <tabColor theme="7" tint="0.79998168889431442"/>
    <pageSetUpPr fitToPage="1"/>
  </sheetPr>
  <dimension ref="A1:K60"/>
  <sheetViews>
    <sheetView zoomScale="85" zoomScaleNormal="85" workbookViewId="0">
      <selection activeCell="L31" sqref="L31"/>
    </sheetView>
  </sheetViews>
  <sheetFormatPr defaultRowHeight="14.5" x14ac:dyDescent="0.35"/>
  <cols>
    <col min="1" max="1" width="22.1796875" customWidth="1"/>
    <col min="2" max="2" width="43.7265625" customWidth="1"/>
    <col min="3" max="3" width="10.26953125" customWidth="1"/>
    <col min="4" max="4" width="12" customWidth="1"/>
    <col min="5" max="5" width="13.7265625" customWidth="1"/>
    <col min="6" max="6" width="10.81640625" customWidth="1"/>
    <col min="7" max="7" width="10.26953125" customWidth="1"/>
    <col min="8" max="8" width="10.81640625" hidden="1" customWidth="1"/>
    <col min="9" max="9" width="12.1796875" hidden="1" customWidth="1"/>
    <col min="10" max="11" width="0" hidden="1" customWidth="1"/>
  </cols>
  <sheetData>
    <row r="1" spans="1:11" ht="41.25" customHeight="1" x14ac:dyDescent="0.35">
      <c r="A1" s="454" t="s">
        <v>68</v>
      </c>
      <c r="B1" s="454"/>
      <c r="C1" s="454"/>
      <c r="D1" s="454"/>
      <c r="E1" s="454"/>
      <c r="F1" s="454"/>
      <c r="G1" s="454"/>
    </row>
    <row r="2" spans="1:11" ht="29.5" thickBot="1" x14ac:dyDescent="0.4">
      <c r="A2" s="3" t="s">
        <v>3</v>
      </c>
      <c r="B2" s="13"/>
      <c r="C2" s="14" t="s">
        <v>4</v>
      </c>
      <c r="D2" s="14" t="s">
        <v>0</v>
      </c>
      <c r="E2" s="15" t="s">
        <v>10</v>
      </c>
      <c r="F2" s="14" t="s">
        <v>1</v>
      </c>
      <c r="G2" s="14" t="s">
        <v>2</v>
      </c>
      <c r="H2" s="100"/>
      <c r="I2" s="103" t="s">
        <v>92</v>
      </c>
    </row>
    <row r="3" spans="1:11" ht="15" thickBot="1" x14ac:dyDescent="0.4">
      <c r="A3" s="12" t="s">
        <v>14</v>
      </c>
      <c r="B3" s="24" t="s">
        <v>51</v>
      </c>
      <c r="C3" s="25"/>
      <c r="D3" s="26">
        <f>(D10-D9)*D13</f>
        <v>-943.53084000000945</v>
      </c>
      <c r="E3" s="26">
        <f>(E10-E9)*E13</f>
        <v>-1180.2300999999975</v>
      </c>
      <c r="F3" s="26">
        <f>(F10-F9)*F13</f>
        <v>0</v>
      </c>
      <c r="G3" s="27">
        <f>(G10-G9)*G13</f>
        <v>0</v>
      </c>
      <c r="H3" s="100"/>
      <c r="I3" s="100"/>
    </row>
    <row r="4" spans="1:11" x14ac:dyDescent="0.35">
      <c r="A4" s="460" t="s">
        <v>78</v>
      </c>
      <c r="B4" s="23" t="s">
        <v>11</v>
      </c>
      <c r="C4" s="458" t="s">
        <v>5</v>
      </c>
      <c r="D4" s="69">
        <v>43</v>
      </c>
      <c r="E4" s="70">
        <v>13</v>
      </c>
      <c r="F4" s="69">
        <v>21</v>
      </c>
      <c r="G4" s="71"/>
      <c r="H4" s="100"/>
      <c r="I4" s="100"/>
    </row>
    <row r="5" spans="1:11" x14ac:dyDescent="0.35">
      <c r="A5" s="461"/>
      <c r="B5" s="16" t="s">
        <v>48</v>
      </c>
      <c r="C5" s="458"/>
      <c r="D5" s="72">
        <v>13585</v>
      </c>
      <c r="E5" s="72">
        <v>9102</v>
      </c>
      <c r="F5" s="72">
        <v>8072</v>
      </c>
      <c r="G5" s="73"/>
      <c r="H5" s="100"/>
      <c r="I5" s="100"/>
    </row>
    <row r="6" spans="1:11" x14ac:dyDescent="0.35">
      <c r="A6" s="461"/>
      <c r="B6" s="16" t="s">
        <v>49</v>
      </c>
      <c r="C6" s="458"/>
      <c r="D6" s="72">
        <f>D5+D7-D8</f>
        <v>13525</v>
      </c>
      <c r="E6" s="72">
        <f>E5+E7-E8</f>
        <v>8922</v>
      </c>
      <c r="F6" s="72">
        <f>F5+F7-F8</f>
        <v>8072</v>
      </c>
      <c r="G6" s="73">
        <f>G5+G7-G8</f>
        <v>0</v>
      </c>
      <c r="H6" s="100"/>
      <c r="I6" s="100"/>
    </row>
    <row r="7" spans="1:11" x14ac:dyDescent="0.35">
      <c r="A7" s="461"/>
      <c r="B7" s="17" t="s">
        <v>44</v>
      </c>
      <c r="C7" s="458"/>
      <c r="D7" s="72">
        <v>0</v>
      </c>
      <c r="E7" s="72">
        <v>0</v>
      </c>
      <c r="F7" s="72">
        <v>0</v>
      </c>
      <c r="G7" s="73"/>
      <c r="H7" s="100"/>
      <c r="I7" s="100"/>
    </row>
    <row r="8" spans="1:11" x14ac:dyDescent="0.35">
      <c r="A8" s="461"/>
      <c r="B8" s="17" t="s">
        <v>45</v>
      </c>
      <c r="C8" s="459"/>
      <c r="D8" s="72">
        <v>60</v>
      </c>
      <c r="E8" s="72">
        <v>180</v>
      </c>
      <c r="F8" s="72">
        <v>0</v>
      </c>
      <c r="G8" s="73"/>
      <c r="H8" s="100"/>
      <c r="I8" s="100"/>
    </row>
    <row r="9" spans="1:11" x14ac:dyDescent="0.35">
      <c r="A9" s="461"/>
      <c r="B9" s="16" t="s">
        <v>42</v>
      </c>
      <c r="C9" s="455" t="s">
        <v>7</v>
      </c>
      <c r="D9" s="72">
        <v>197049.46</v>
      </c>
      <c r="E9" s="72">
        <v>87623.539999999979</v>
      </c>
      <c r="F9" s="72">
        <v>57478.28</v>
      </c>
      <c r="G9" s="73"/>
      <c r="H9" s="100"/>
      <c r="I9" s="100"/>
    </row>
    <row r="10" spans="1:11" x14ac:dyDescent="0.35">
      <c r="A10" s="461"/>
      <c r="B10" s="16" t="s">
        <v>50</v>
      </c>
      <c r="C10" s="456"/>
      <c r="D10" s="72">
        <f>D9+D11-D12</f>
        <v>196469.86</v>
      </c>
      <c r="E10" s="72">
        <f>E9+E11-E12</f>
        <v>86219.339999999982</v>
      </c>
      <c r="F10" s="72">
        <f>F9+F11-F12</f>
        <v>57478.28</v>
      </c>
      <c r="G10" s="73">
        <f>G9+G11-G12</f>
        <v>0</v>
      </c>
      <c r="H10" s="100"/>
      <c r="I10" s="101">
        <f>D10+E10</f>
        <v>282689.19999999995</v>
      </c>
      <c r="J10" s="102">
        <f ca="1">atskaites_jedox!BM9</f>
        <v>281966.53999999998</v>
      </c>
      <c r="K10" s="102">
        <f ca="1">atskaites_jedox!BN9</f>
        <v>57436.84</v>
      </c>
    </row>
    <row r="11" spans="1:11" x14ac:dyDescent="0.35">
      <c r="A11" s="461"/>
      <c r="B11" s="18" t="s">
        <v>46</v>
      </c>
      <c r="C11" s="456"/>
      <c r="D11" s="72">
        <v>0</v>
      </c>
      <c r="E11" s="72">
        <v>0</v>
      </c>
      <c r="F11" s="72">
        <v>0</v>
      </c>
      <c r="G11" s="73"/>
      <c r="H11" s="100"/>
      <c r="I11" s="100"/>
    </row>
    <row r="12" spans="1:11" x14ac:dyDescent="0.35">
      <c r="A12" s="462"/>
      <c r="B12" s="18" t="s">
        <v>47</v>
      </c>
      <c r="C12" s="457"/>
      <c r="D12" s="72">
        <v>579.6</v>
      </c>
      <c r="E12" s="72">
        <v>1404.2000000000003</v>
      </c>
      <c r="F12" s="72">
        <v>0</v>
      </c>
      <c r="G12" s="73"/>
      <c r="H12" s="100"/>
      <c r="I12" s="100"/>
    </row>
    <row r="13" spans="1:11" ht="15" thickBot="1" x14ac:dyDescent="0.4">
      <c r="A13" s="29" t="s">
        <v>78</v>
      </c>
      <c r="B13" s="19" t="s">
        <v>43</v>
      </c>
      <c r="C13" s="20" t="s">
        <v>8</v>
      </c>
      <c r="D13" s="74">
        <v>1.6278999999999999</v>
      </c>
      <c r="E13" s="74">
        <v>0.84050000000000002</v>
      </c>
      <c r="F13" s="74">
        <v>3.0813999999999999</v>
      </c>
      <c r="G13" s="75"/>
      <c r="H13" s="100"/>
      <c r="I13" s="100"/>
      <c r="J13" s="62">
        <f ca="1">atskaites_jedox!BO9</f>
        <v>1.3900000000000001</v>
      </c>
      <c r="K13" s="62">
        <f ca="1">atskaites_jedox!BP9</f>
        <v>3.08</v>
      </c>
    </row>
    <row r="14" spans="1:11" ht="29" thickBot="1" x14ac:dyDescent="0.4">
      <c r="A14" s="7" t="s">
        <v>15</v>
      </c>
      <c r="B14" s="8" t="s">
        <v>41</v>
      </c>
      <c r="C14" s="9"/>
      <c r="D14" s="10" t="e">
        <f>SUM(#REF!*#REF!,D20*D30)</f>
        <v>#REF!</v>
      </c>
      <c r="E14" s="10" t="e">
        <f>SUM(#REF!*#REF!,E20*E30)</f>
        <v>#REF!</v>
      </c>
      <c r="F14" s="10">
        <f>SUM(F16*F26,F17*F27,F18*F28,F19*F29,F20*F30,F21*F31,F22*F32,F23*F33,F24*F34)</f>
        <v>95.358699999999999</v>
      </c>
      <c r="G14" s="11" t="e">
        <f>SUM(#REF!*#REF!,G20*G30,#REF!*#REF!,#REF!*#REF!,#REF!*#REF!,#REF!*#REF!)</f>
        <v>#REF!</v>
      </c>
      <c r="H14" s="100"/>
      <c r="I14" s="100"/>
    </row>
    <row r="15" spans="1:11" ht="30" customHeight="1" x14ac:dyDescent="0.35">
      <c r="A15" s="467" t="s">
        <v>78</v>
      </c>
      <c r="B15" s="45" t="s">
        <v>39</v>
      </c>
      <c r="C15" s="56"/>
      <c r="D15" s="46"/>
      <c r="E15" s="46"/>
      <c r="F15" s="76"/>
      <c r="G15" s="47"/>
      <c r="H15" s="100"/>
      <c r="I15" s="100"/>
    </row>
    <row r="16" spans="1:11" x14ac:dyDescent="0.35">
      <c r="A16" s="468"/>
      <c r="B16" s="48" t="s">
        <v>61</v>
      </c>
      <c r="C16" s="59" t="s">
        <v>25</v>
      </c>
      <c r="D16" s="46" t="s">
        <v>79</v>
      </c>
      <c r="E16" s="46" t="s">
        <v>79</v>
      </c>
      <c r="F16" s="77">
        <v>9</v>
      </c>
      <c r="G16" s="47"/>
      <c r="H16" s="100"/>
      <c r="I16" s="100"/>
    </row>
    <row r="17" spans="1:9" x14ac:dyDescent="0.35">
      <c r="A17" s="468"/>
      <c r="B17" s="48" t="s">
        <v>71</v>
      </c>
      <c r="C17" s="59" t="s">
        <v>25</v>
      </c>
      <c r="D17" s="46" t="s">
        <v>79</v>
      </c>
      <c r="E17" s="46" t="s">
        <v>79</v>
      </c>
      <c r="F17" s="77">
        <v>5</v>
      </c>
      <c r="G17" s="47"/>
      <c r="H17" s="100"/>
      <c r="I17" s="100"/>
    </row>
    <row r="18" spans="1:9" x14ac:dyDescent="0.35">
      <c r="A18" s="468"/>
      <c r="B18" s="48" t="s">
        <v>80</v>
      </c>
      <c r="C18" s="59" t="s">
        <v>25</v>
      </c>
      <c r="D18" s="46" t="s">
        <v>79</v>
      </c>
      <c r="E18" s="46" t="s">
        <v>79</v>
      </c>
      <c r="F18" s="77">
        <v>5</v>
      </c>
      <c r="G18" s="47"/>
      <c r="H18" s="100"/>
      <c r="I18" s="100"/>
    </row>
    <row r="19" spans="1:9" x14ac:dyDescent="0.35">
      <c r="A19" s="468"/>
      <c r="B19" s="48" t="s">
        <v>80</v>
      </c>
      <c r="C19" s="59" t="s">
        <v>25</v>
      </c>
      <c r="D19" s="46" t="s">
        <v>79</v>
      </c>
      <c r="E19" s="46" t="s">
        <v>79</v>
      </c>
      <c r="F19" s="77">
        <v>2</v>
      </c>
      <c r="G19" s="47"/>
      <c r="H19" s="100"/>
      <c r="I19" s="100"/>
    </row>
    <row r="20" spans="1:9" x14ac:dyDescent="0.35">
      <c r="A20" s="468"/>
      <c r="B20" s="48" t="s">
        <v>12</v>
      </c>
      <c r="C20" s="59" t="s">
        <v>59</v>
      </c>
      <c r="D20" s="46" t="s">
        <v>79</v>
      </c>
      <c r="E20" s="46" t="s">
        <v>79</v>
      </c>
      <c r="F20" s="78">
        <v>10</v>
      </c>
      <c r="G20" s="51"/>
      <c r="H20" s="100"/>
      <c r="I20" s="100"/>
    </row>
    <row r="21" spans="1:9" x14ac:dyDescent="0.35">
      <c r="A21" s="468"/>
      <c r="B21" s="48" t="s">
        <v>81</v>
      </c>
      <c r="C21" s="59" t="s">
        <v>74</v>
      </c>
      <c r="D21" s="46" t="s">
        <v>79</v>
      </c>
      <c r="E21" s="46" t="s">
        <v>79</v>
      </c>
      <c r="F21" s="78">
        <v>1</v>
      </c>
      <c r="G21" s="51"/>
      <c r="H21" s="100"/>
      <c r="I21" s="100"/>
    </row>
    <row r="22" spans="1:9" x14ac:dyDescent="0.35">
      <c r="A22" s="468"/>
      <c r="B22" s="48" t="s">
        <v>73</v>
      </c>
      <c r="C22" s="59" t="s">
        <v>59</v>
      </c>
      <c r="D22" s="46" t="s">
        <v>79</v>
      </c>
      <c r="E22" s="46" t="s">
        <v>79</v>
      </c>
      <c r="F22" s="78">
        <v>46</v>
      </c>
      <c r="G22" s="51"/>
      <c r="H22" s="100"/>
      <c r="I22" s="100"/>
    </row>
    <row r="23" spans="1:9" x14ac:dyDescent="0.35">
      <c r="A23" s="468"/>
      <c r="B23" s="48" t="s">
        <v>62</v>
      </c>
      <c r="C23" s="59" t="s">
        <v>60</v>
      </c>
      <c r="D23" s="46" t="s">
        <v>79</v>
      </c>
      <c r="E23" s="46" t="s">
        <v>79</v>
      </c>
      <c r="F23" s="78">
        <v>37</v>
      </c>
      <c r="G23" s="51"/>
      <c r="H23" s="100"/>
      <c r="I23" s="100"/>
    </row>
    <row r="24" spans="1:9" ht="15" thickBot="1" x14ac:dyDescent="0.4">
      <c r="A24" s="468"/>
      <c r="B24" s="48" t="s">
        <v>62</v>
      </c>
      <c r="C24" s="79" t="s">
        <v>60</v>
      </c>
      <c r="D24" s="50" t="s">
        <v>79</v>
      </c>
      <c r="E24" s="50" t="s">
        <v>79</v>
      </c>
      <c r="F24" s="78">
        <v>33</v>
      </c>
      <c r="G24" s="51"/>
      <c r="H24" s="100"/>
      <c r="I24" s="100"/>
    </row>
    <row r="25" spans="1:9" ht="28.5" x14ac:dyDescent="0.35">
      <c r="A25" s="468"/>
      <c r="B25" s="80" t="s">
        <v>40</v>
      </c>
      <c r="C25" s="470" t="s">
        <v>26</v>
      </c>
      <c r="D25" s="81" t="s">
        <v>79</v>
      </c>
      <c r="E25" s="54" t="s">
        <v>79</v>
      </c>
      <c r="F25" s="82"/>
      <c r="G25" s="55"/>
      <c r="H25" s="100"/>
      <c r="I25" s="100"/>
    </row>
    <row r="26" spans="1:9" x14ac:dyDescent="0.35">
      <c r="A26" s="468"/>
      <c r="B26" s="83" t="s">
        <v>57</v>
      </c>
      <c r="C26" s="466"/>
      <c r="D26" s="84" t="s">
        <v>79</v>
      </c>
      <c r="E26" s="46" t="s">
        <v>79</v>
      </c>
      <c r="F26" s="76">
        <v>2.4700000000000002</v>
      </c>
      <c r="G26" s="47"/>
      <c r="H26" s="100"/>
      <c r="I26" s="100"/>
    </row>
    <row r="27" spans="1:9" x14ac:dyDescent="0.35">
      <c r="A27" s="468"/>
      <c r="B27" s="83" t="s">
        <v>58</v>
      </c>
      <c r="C27" s="466"/>
      <c r="D27" s="84" t="s">
        <v>79</v>
      </c>
      <c r="E27" s="46" t="s">
        <v>79</v>
      </c>
      <c r="F27" s="76">
        <v>2.8620000000000001</v>
      </c>
      <c r="G27" s="47"/>
      <c r="H27" s="100"/>
      <c r="I27" s="100"/>
    </row>
    <row r="28" spans="1:9" x14ac:dyDescent="0.35">
      <c r="A28" s="468"/>
      <c r="B28" s="83" t="s">
        <v>82</v>
      </c>
      <c r="C28" s="466"/>
      <c r="D28" s="84" t="s">
        <v>79</v>
      </c>
      <c r="E28" s="46" t="s">
        <v>79</v>
      </c>
      <c r="F28" s="76">
        <v>2.5139999999999998</v>
      </c>
      <c r="G28" s="47"/>
      <c r="H28" s="100"/>
      <c r="I28" s="100"/>
    </row>
    <row r="29" spans="1:9" x14ac:dyDescent="0.35">
      <c r="A29" s="468"/>
      <c r="B29" s="83" t="s">
        <v>82</v>
      </c>
      <c r="C29" s="466"/>
      <c r="D29" s="84" t="s">
        <v>79</v>
      </c>
      <c r="E29" s="46" t="s">
        <v>79</v>
      </c>
      <c r="F29" s="76">
        <v>5.31</v>
      </c>
      <c r="G29" s="47"/>
      <c r="H29" s="100"/>
      <c r="I29" s="100"/>
    </row>
    <row r="30" spans="1:9" x14ac:dyDescent="0.35">
      <c r="A30" s="468"/>
      <c r="B30" s="83" t="s">
        <v>83</v>
      </c>
      <c r="C30" s="466"/>
      <c r="D30" s="84" t="s">
        <v>79</v>
      </c>
      <c r="E30" s="46" t="s">
        <v>79</v>
      </c>
      <c r="F30" s="85">
        <v>0.35699999999999998</v>
      </c>
      <c r="G30" s="51"/>
      <c r="H30" s="100"/>
      <c r="I30" s="100"/>
    </row>
    <row r="31" spans="1:9" x14ac:dyDescent="0.35">
      <c r="A31" s="468"/>
      <c r="B31" s="83" t="s">
        <v>84</v>
      </c>
      <c r="C31" s="466"/>
      <c r="D31" s="84" t="s">
        <v>79</v>
      </c>
      <c r="E31" s="46" t="s">
        <v>79</v>
      </c>
      <c r="F31" s="85">
        <v>0.56000000000000005</v>
      </c>
      <c r="G31" s="51"/>
      <c r="H31" s="100"/>
      <c r="I31" s="100"/>
    </row>
    <row r="32" spans="1:9" x14ac:dyDescent="0.35">
      <c r="A32" s="468"/>
      <c r="B32" s="83" t="s">
        <v>85</v>
      </c>
      <c r="C32" s="466"/>
      <c r="D32" s="84" t="s">
        <v>79</v>
      </c>
      <c r="E32" s="46" t="s">
        <v>79</v>
      </c>
      <c r="F32" s="85">
        <v>0.34</v>
      </c>
      <c r="G32" s="51"/>
      <c r="H32" s="100"/>
      <c r="I32" s="100"/>
    </row>
    <row r="33" spans="1:11" x14ac:dyDescent="0.35">
      <c r="A33" s="468"/>
      <c r="B33" s="83" t="s">
        <v>54</v>
      </c>
      <c r="C33" s="466"/>
      <c r="D33" s="84" t="s">
        <v>79</v>
      </c>
      <c r="E33" s="46" t="s">
        <v>79</v>
      </c>
      <c r="F33" s="85">
        <v>0.22</v>
      </c>
      <c r="G33" s="51"/>
      <c r="H33" s="100"/>
      <c r="I33" s="100"/>
    </row>
    <row r="34" spans="1:11" ht="15" thickBot="1" x14ac:dyDescent="0.4">
      <c r="A34" s="468"/>
      <c r="B34" s="83" t="s">
        <v>54</v>
      </c>
      <c r="C34" s="471"/>
      <c r="D34" s="86" t="s">
        <v>79</v>
      </c>
      <c r="E34" s="50" t="s">
        <v>79</v>
      </c>
      <c r="F34" s="85">
        <v>0.2339</v>
      </c>
      <c r="G34" s="51"/>
      <c r="H34" s="100"/>
      <c r="I34" s="100"/>
    </row>
    <row r="35" spans="1:11" x14ac:dyDescent="0.35">
      <c r="A35" s="21" t="s">
        <v>27</v>
      </c>
      <c r="B35" s="30" t="s">
        <v>53</v>
      </c>
      <c r="C35" s="87"/>
      <c r="D35" s="32">
        <f>((D38/D39)-(D36/D37))*D37</f>
        <v>37892.127555498118</v>
      </c>
      <c r="E35" s="32">
        <f>((E38/E39)-(E36/E37))*E37</f>
        <v>15730.163169870544</v>
      </c>
      <c r="F35" s="32">
        <f>((F38/F39)-(F36/F37))*F37</f>
        <v>10102.968149693032</v>
      </c>
      <c r="G35" s="33" t="e">
        <f>((G38/G39)-(G36/G37))*G37</f>
        <v>#DIV/0!</v>
      </c>
      <c r="H35" s="101">
        <f>SUM(D35:F35)</f>
        <v>63725.2588750617</v>
      </c>
      <c r="I35" s="100"/>
    </row>
    <row r="36" spans="1:11" ht="56.5" x14ac:dyDescent="0.35">
      <c r="A36" s="451" t="s">
        <v>86</v>
      </c>
      <c r="B36" s="34" t="s">
        <v>36</v>
      </c>
      <c r="C36" s="43" t="s">
        <v>30</v>
      </c>
      <c r="D36" s="40">
        <v>114554.52219309782</v>
      </c>
      <c r="E36" s="88">
        <v>45150.817637916865</v>
      </c>
      <c r="F36" s="40">
        <v>37767.140168985352</v>
      </c>
      <c r="G36" s="89"/>
      <c r="H36" s="101">
        <f>SUM(D36:G36)</f>
        <v>197472.48000000004</v>
      </c>
      <c r="I36" s="101">
        <f>D36+E36</f>
        <v>159705.33983101469</v>
      </c>
      <c r="J36" s="102">
        <f ca="1">atskaites_jedox!BK9</f>
        <v>156052.5</v>
      </c>
      <c r="K36" s="102">
        <f ca="1">atskaites_jedox!BL9</f>
        <v>31788.03</v>
      </c>
    </row>
    <row r="37" spans="1:11" x14ac:dyDescent="0.35">
      <c r="A37" s="452"/>
      <c r="B37" s="34" t="s">
        <v>52</v>
      </c>
      <c r="C37" s="43" t="s">
        <v>7</v>
      </c>
      <c r="D37" s="40">
        <f>D10</f>
        <v>196469.86</v>
      </c>
      <c r="E37" s="40">
        <f>E10</f>
        <v>86219.339999999982</v>
      </c>
      <c r="F37" s="40">
        <f>F10</f>
        <v>57478.28</v>
      </c>
      <c r="G37" s="89"/>
      <c r="H37" s="101">
        <f>SUM(D37:G37)</f>
        <v>340167.48</v>
      </c>
      <c r="I37" s="101">
        <f t="shared" ref="I37:I39" si="0">D37+E37</f>
        <v>282689.19999999995</v>
      </c>
      <c r="J37" s="102">
        <f ca="1">atskaites_jedox!BM9</f>
        <v>281966.53999999998</v>
      </c>
      <c r="K37" s="102">
        <f ca="1">atskaites_jedox!BN9</f>
        <v>57436.84</v>
      </c>
    </row>
    <row r="38" spans="1:11" ht="56.5" x14ac:dyDescent="0.35">
      <c r="A38" s="451" t="s">
        <v>87</v>
      </c>
      <c r="B38" s="34" t="s">
        <v>37</v>
      </c>
      <c r="C38" s="43" t="s">
        <v>30</v>
      </c>
      <c r="D38" s="40">
        <v>193164.92440684114</v>
      </c>
      <c r="E38" s="40">
        <v>61139.621039261932</v>
      </c>
      <c r="F38" s="40">
        <v>49957.304553896967</v>
      </c>
      <c r="G38" s="89"/>
      <c r="H38" s="101">
        <f t="shared" ref="H38:H39" si="1">SUM(D38:G38)</f>
        <v>304261.85000000003</v>
      </c>
      <c r="I38" s="101">
        <f t="shared" si="0"/>
        <v>254304.54544610306</v>
      </c>
      <c r="J38" s="102">
        <f ca="1">atskaites_jedox!O9</f>
        <v>239647.78</v>
      </c>
      <c r="K38" s="102">
        <f ca="1">atskaites_jedox!P9</f>
        <v>42955.73</v>
      </c>
    </row>
    <row r="39" spans="1:11" ht="15" thickBot="1" x14ac:dyDescent="0.4">
      <c r="A39" s="452"/>
      <c r="B39" s="36" t="s">
        <v>38</v>
      </c>
      <c r="C39" s="28" t="s">
        <v>7</v>
      </c>
      <c r="D39" s="41">
        <v>248946.66900000008</v>
      </c>
      <c r="E39" s="41">
        <v>86585.624999999985</v>
      </c>
      <c r="F39" s="41">
        <v>59984.404465484637</v>
      </c>
      <c r="G39" s="90"/>
      <c r="H39" s="101">
        <f t="shared" si="1"/>
        <v>395516.69846548466</v>
      </c>
      <c r="I39" s="101">
        <f t="shared" si="0"/>
        <v>335532.29400000005</v>
      </c>
      <c r="J39" s="102">
        <f ca="1">atskaites_jedox!Q9</f>
        <v>334653.18</v>
      </c>
      <c r="K39" s="102">
        <f ca="1">atskaites_jedox!R9</f>
        <v>59984.4</v>
      </c>
    </row>
    <row r="40" spans="1:11" x14ac:dyDescent="0.35">
      <c r="A40" s="1"/>
      <c r="B40" s="1"/>
      <c r="C40" s="1"/>
      <c r="D40" s="1"/>
      <c r="E40" s="1"/>
      <c r="F40" s="1"/>
      <c r="G40" s="1"/>
    </row>
    <row r="41" spans="1:11" x14ac:dyDescent="0.35">
      <c r="A41" s="1"/>
      <c r="B41" s="1"/>
      <c r="C41" s="1"/>
      <c r="D41" s="1"/>
      <c r="E41" s="1"/>
      <c r="F41" s="1"/>
      <c r="G41" s="1"/>
    </row>
    <row r="42" spans="1:11" ht="15" thickBot="1" x14ac:dyDescent="0.4">
      <c r="A42" s="1"/>
      <c r="B42" s="38" t="s">
        <v>88</v>
      </c>
      <c r="C42" s="37"/>
      <c r="D42" s="37"/>
      <c r="E42" s="37"/>
      <c r="F42" s="37"/>
      <c r="G42" s="37"/>
    </row>
    <row r="43" spans="1:11" ht="15" thickTop="1" x14ac:dyDescent="0.35">
      <c r="A43" s="1"/>
      <c r="B43" s="1"/>
      <c r="C43" s="1"/>
      <c r="D43" s="1"/>
      <c r="E43" s="1"/>
      <c r="F43" s="1"/>
      <c r="G43" s="1"/>
    </row>
    <row r="44" spans="1:11" x14ac:dyDescent="0.35">
      <c r="A44" s="1"/>
      <c r="B44" s="1"/>
      <c r="C44" s="1"/>
      <c r="D44" s="1"/>
      <c r="E44" s="1"/>
      <c r="F44" s="1"/>
      <c r="G44" s="1"/>
    </row>
    <row r="45" spans="1:11" x14ac:dyDescent="0.35">
      <c r="A45" s="1" t="s">
        <v>9</v>
      </c>
      <c r="B45" s="1"/>
      <c r="C45" s="1"/>
      <c r="D45" s="1"/>
      <c r="E45" s="1"/>
      <c r="F45" s="1"/>
      <c r="G45" s="1"/>
    </row>
    <row r="46" spans="1:11" x14ac:dyDescent="0.35">
      <c r="A46" s="453" t="s">
        <v>24</v>
      </c>
      <c r="B46" s="453"/>
      <c r="C46" s="453"/>
      <c r="D46" s="453"/>
      <c r="E46" s="453"/>
      <c r="F46" s="453"/>
      <c r="G46" s="453"/>
    </row>
    <row r="47" spans="1:11" x14ac:dyDescent="0.35">
      <c r="A47" s="44" t="s">
        <v>23</v>
      </c>
      <c r="B47" s="44"/>
      <c r="C47" s="44"/>
      <c r="D47" s="44"/>
      <c r="E47" s="44"/>
      <c r="F47" s="44"/>
      <c r="G47" s="44"/>
    </row>
    <row r="48" spans="1:11" x14ac:dyDescent="0.35">
      <c r="A48" s="465" t="s">
        <v>16</v>
      </c>
      <c r="B48" s="465"/>
      <c r="C48" s="465"/>
      <c r="D48" s="465"/>
      <c r="E48" s="465"/>
      <c r="F48" s="465"/>
      <c r="G48" s="465"/>
    </row>
    <row r="49" spans="1:7" x14ac:dyDescent="0.35">
      <c r="A49" s="453" t="s">
        <v>18</v>
      </c>
      <c r="B49" s="453"/>
      <c r="C49" s="453"/>
      <c r="D49" s="453"/>
      <c r="E49" s="453"/>
      <c r="F49" s="453"/>
      <c r="G49" s="453"/>
    </row>
    <row r="50" spans="1:7" x14ac:dyDescent="0.35">
      <c r="A50" s="453" t="s">
        <v>31</v>
      </c>
      <c r="B50" s="453"/>
      <c r="C50" s="453"/>
      <c r="D50" s="453"/>
      <c r="E50" s="453"/>
      <c r="F50" s="453"/>
      <c r="G50" s="453"/>
    </row>
    <row r="51" spans="1:7" x14ac:dyDescent="0.35">
      <c r="A51" s="44"/>
      <c r="B51" s="44"/>
      <c r="C51" s="44"/>
      <c r="D51" s="44"/>
      <c r="E51" s="44"/>
      <c r="F51" s="44"/>
      <c r="G51" s="44"/>
    </row>
    <row r="52" spans="1:7" x14ac:dyDescent="0.35">
      <c r="A52" s="6" t="s">
        <v>17</v>
      </c>
      <c r="B52" s="44"/>
      <c r="C52" s="44"/>
      <c r="D52" s="44"/>
      <c r="E52" s="44"/>
      <c r="F52" s="44"/>
      <c r="G52" s="44"/>
    </row>
    <row r="53" spans="1:7" x14ac:dyDescent="0.35">
      <c r="A53" s="453" t="s">
        <v>32</v>
      </c>
      <c r="B53" s="453"/>
      <c r="C53" s="453"/>
      <c r="D53" s="453"/>
      <c r="E53" s="453"/>
      <c r="F53" s="453"/>
      <c r="G53" s="453"/>
    </row>
    <row r="54" spans="1:7" x14ac:dyDescent="0.35">
      <c r="A54" s="453" t="s">
        <v>19</v>
      </c>
      <c r="B54" s="453"/>
      <c r="C54" s="453"/>
      <c r="D54" s="453"/>
      <c r="E54" s="453"/>
      <c r="F54" s="453"/>
      <c r="G54" s="453"/>
    </row>
    <row r="55" spans="1:7" x14ac:dyDescent="0.35">
      <c r="A55" s="453" t="s">
        <v>21</v>
      </c>
      <c r="B55" s="453"/>
      <c r="C55" s="453"/>
      <c r="D55" s="453"/>
      <c r="E55" s="453"/>
      <c r="F55" s="453"/>
      <c r="G55" s="453"/>
    </row>
    <row r="56" spans="1:7" x14ac:dyDescent="0.35">
      <c r="A56" s="453" t="s">
        <v>33</v>
      </c>
      <c r="B56" s="453"/>
      <c r="C56" s="453"/>
      <c r="D56" s="453"/>
      <c r="E56" s="453"/>
      <c r="F56" s="453"/>
      <c r="G56" s="453"/>
    </row>
    <row r="57" spans="1:7" x14ac:dyDescent="0.35">
      <c r="A57" s="453" t="s">
        <v>20</v>
      </c>
      <c r="B57" s="453"/>
      <c r="C57" s="453"/>
      <c r="D57" s="453"/>
      <c r="E57" s="453"/>
      <c r="F57" s="453"/>
      <c r="G57" s="453"/>
    </row>
    <row r="58" spans="1:7" x14ac:dyDescent="0.35">
      <c r="A58" s="469" t="s">
        <v>22</v>
      </c>
      <c r="B58" s="469"/>
      <c r="C58" s="469"/>
      <c r="D58" s="469"/>
      <c r="E58" s="469"/>
      <c r="F58" s="469"/>
      <c r="G58" s="469"/>
    </row>
    <row r="59" spans="1:7" x14ac:dyDescent="0.35">
      <c r="A59" s="453" t="s">
        <v>34</v>
      </c>
      <c r="B59" s="453"/>
      <c r="C59" s="453"/>
      <c r="D59" s="453"/>
      <c r="E59" s="453"/>
      <c r="F59" s="453"/>
      <c r="G59" s="453"/>
    </row>
    <row r="60" spans="1:7" x14ac:dyDescent="0.35">
      <c r="A60" s="453" t="s">
        <v>35</v>
      </c>
      <c r="B60" s="453"/>
      <c r="C60" s="453"/>
      <c r="D60" s="453"/>
      <c r="E60" s="453"/>
      <c r="F60" s="453"/>
      <c r="G60" s="453"/>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49618-057D-49B0-A6E9-9E47DC964260}">
  <sheetPr>
    <tabColor theme="7" tint="0.79998168889431442"/>
    <pageSetUpPr fitToPage="1"/>
  </sheetPr>
  <dimension ref="A1:I64"/>
  <sheetViews>
    <sheetView zoomScale="85" zoomScaleNormal="85" workbookViewId="0">
      <selection activeCell="L31" sqref="L31"/>
    </sheetView>
  </sheetViews>
  <sheetFormatPr defaultColWidth="9.1796875" defaultRowHeight="14.5" x14ac:dyDescent="0.35"/>
  <cols>
    <col min="1" max="1" width="22.1796875" style="122" bestFit="1" customWidth="1"/>
    <col min="2" max="2" width="50.453125" style="122" customWidth="1"/>
    <col min="3" max="3" width="11.81640625" style="122" bestFit="1" customWidth="1"/>
    <col min="4" max="4" width="12" style="122" bestFit="1" customWidth="1"/>
    <col min="5" max="5" width="13.7265625" style="122" customWidth="1"/>
    <col min="6" max="6" width="10.81640625" style="122" bestFit="1" customWidth="1"/>
    <col min="7" max="7" width="10.26953125" style="122" customWidth="1"/>
    <col min="8" max="9" width="0" style="122" hidden="1" customWidth="1"/>
    <col min="10" max="16384" width="9.1796875" style="122"/>
  </cols>
  <sheetData>
    <row r="1" spans="1:9" ht="41.25" customHeight="1" x14ac:dyDescent="0.35">
      <c r="A1" s="473" t="s">
        <v>68</v>
      </c>
      <c r="B1" s="473"/>
      <c r="C1" s="473"/>
      <c r="D1" s="473"/>
      <c r="E1" s="473"/>
      <c r="F1" s="473"/>
      <c r="G1" s="473"/>
    </row>
    <row r="2" spans="1:9" ht="28.5" thickBot="1" x14ac:dyDescent="0.4">
      <c r="A2" s="123" t="s">
        <v>3</v>
      </c>
      <c r="B2" s="124"/>
      <c r="C2" s="125" t="s">
        <v>4</v>
      </c>
      <c r="D2" s="125" t="s">
        <v>0</v>
      </c>
      <c r="E2" s="126" t="s">
        <v>10</v>
      </c>
      <c r="F2" s="125" t="s">
        <v>1</v>
      </c>
      <c r="G2" s="125" t="s">
        <v>2</v>
      </c>
    </row>
    <row r="3" spans="1:9" ht="15" thickBot="1" x14ac:dyDescent="0.4">
      <c r="A3" s="127" t="s">
        <v>14</v>
      </c>
      <c r="B3" s="128" t="s">
        <v>51</v>
      </c>
      <c r="C3" s="129"/>
      <c r="D3" s="130">
        <f>(D10-D9)*D13</f>
        <v>0</v>
      </c>
      <c r="E3" s="130">
        <f>(E10-E9)*E13</f>
        <v>0</v>
      </c>
      <c r="F3" s="130">
        <f>(F10-F9)*F13</f>
        <v>0</v>
      </c>
      <c r="G3" s="131">
        <f>(G10-G9)*G13</f>
        <v>0</v>
      </c>
    </row>
    <row r="4" spans="1:9" x14ac:dyDescent="0.35">
      <c r="A4" s="474" t="s">
        <v>128</v>
      </c>
      <c r="B4" s="132" t="s">
        <v>11</v>
      </c>
      <c r="C4" s="477" t="s">
        <v>5</v>
      </c>
      <c r="D4" s="133">
        <v>43</v>
      </c>
      <c r="E4" s="134">
        <v>13</v>
      </c>
      <c r="F4" s="133">
        <v>20</v>
      </c>
      <c r="G4" s="135"/>
    </row>
    <row r="5" spans="1:9" x14ac:dyDescent="0.35">
      <c r="A5" s="475"/>
      <c r="B5" s="136" t="s">
        <v>48</v>
      </c>
      <c r="C5" s="478"/>
      <c r="D5" s="137">
        <v>12790</v>
      </c>
      <c r="E5" s="137">
        <v>8660</v>
      </c>
      <c r="F5" s="138">
        <v>7840</v>
      </c>
      <c r="G5" s="139"/>
    </row>
    <row r="6" spans="1:9" x14ac:dyDescent="0.35">
      <c r="A6" s="475"/>
      <c r="B6" s="136" t="s">
        <v>49</v>
      </c>
      <c r="C6" s="478"/>
      <c r="D6" s="137">
        <f>D5+D7-D8</f>
        <v>12790</v>
      </c>
      <c r="E6" s="137">
        <f t="shared" ref="E6:G6" si="0">E5+E7-E8</f>
        <v>8660</v>
      </c>
      <c r="F6" s="137">
        <f t="shared" si="0"/>
        <v>7840</v>
      </c>
      <c r="G6" s="139">
        <f t="shared" si="0"/>
        <v>0</v>
      </c>
    </row>
    <row r="7" spans="1:9" x14ac:dyDescent="0.35">
      <c r="A7" s="475"/>
      <c r="B7" s="140" t="s">
        <v>44</v>
      </c>
      <c r="C7" s="478"/>
      <c r="D7" s="137">
        <v>0</v>
      </c>
      <c r="E7" s="137">
        <v>0</v>
      </c>
      <c r="F7" s="137">
        <v>0</v>
      </c>
      <c r="G7" s="139"/>
    </row>
    <row r="8" spans="1:9" x14ac:dyDescent="0.35">
      <c r="A8" s="475"/>
      <c r="B8" s="140" t="s">
        <v>45</v>
      </c>
      <c r="C8" s="479"/>
      <c r="D8" s="137">
        <v>0</v>
      </c>
      <c r="E8" s="137">
        <v>0</v>
      </c>
      <c r="F8" s="137">
        <v>0</v>
      </c>
      <c r="G8" s="139"/>
    </row>
    <row r="9" spans="1:9" x14ac:dyDescent="0.35">
      <c r="A9" s="475"/>
      <c r="B9" s="136" t="s">
        <v>42</v>
      </c>
      <c r="C9" s="480" t="s">
        <v>7</v>
      </c>
      <c r="D9" s="137">
        <v>185411.79999999996</v>
      </c>
      <c r="E9" s="137">
        <v>84612.799999999988</v>
      </c>
      <c r="F9" s="137">
        <v>55825.820000000007</v>
      </c>
      <c r="G9" s="139"/>
    </row>
    <row r="10" spans="1:9" x14ac:dyDescent="0.35">
      <c r="A10" s="475"/>
      <c r="B10" s="136" t="s">
        <v>50</v>
      </c>
      <c r="C10" s="481"/>
      <c r="D10" s="137">
        <f t="shared" ref="D10:G10" si="1">D9+D11-D12</f>
        <v>185411.79999999996</v>
      </c>
      <c r="E10" s="137">
        <f t="shared" si="1"/>
        <v>84612.799999999988</v>
      </c>
      <c r="F10" s="137">
        <f t="shared" si="1"/>
        <v>55825.820000000007</v>
      </c>
      <c r="G10" s="139">
        <f t="shared" si="1"/>
        <v>0</v>
      </c>
      <c r="H10" s="235">
        <f ca="1">atskaites_jedox!BS9</f>
        <v>269270.81</v>
      </c>
      <c r="I10" s="235">
        <f ca="1">atskaites_jedox!BT9</f>
        <v>55667.9</v>
      </c>
    </row>
    <row r="11" spans="1:9" x14ac:dyDescent="0.35">
      <c r="A11" s="475"/>
      <c r="B11" s="141" t="s">
        <v>46</v>
      </c>
      <c r="C11" s="481"/>
      <c r="D11" s="137">
        <v>0</v>
      </c>
      <c r="E11" s="137">
        <v>0</v>
      </c>
      <c r="F11" s="137">
        <v>0</v>
      </c>
      <c r="G11" s="139"/>
    </row>
    <row r="12" spans="1:9" x14ac:dyDescent="0.35">
      <c r="A12" s="476"/>
      <c r="B12" s="141" t="s">
        <v>47</v>
      </c>
      <c r="C12" s="482"/>
      <c r="D12" s="137">
        <v>0</v>
      </c>
      <c r="E12" s="137">
        <v>0</v>
      </c>
      <c r="F12" s="137">
        <v>0</v>
      </c>
      <c r="G12" s="139"/>
    </row>
    <row r="13" spans="1:9" ht="15" thickBot="1" x14ac:dyDescent="0.4">
      <c r="A13" s="142" t="s">
        <v>128</v>
      </c>
      <c r="B13" s="143" t="s">
        <v>43</v>
      </c>
      <c r="C13" s="144" t="s">
        <v>8</v>
      </c>
      <c r="D13" s="145">
        <v>1.6343000000000001</v>
      </c>
      <c r="E13" s="145">
        <v>0.84199999999999997</v>
      </c>
      <c r="F13" s="145">
        <v>3.0809000000000002</v>
      </c>
      <c r="G13" s="146"/>
      <c r="H13" s="236">
        <f ca="1">atskaites_jedox!BU9</f>
        <v>1.3865000000000001</v>
      </c>
      <c r="I13" s="236">
        <f ca="1">atskaites_jedox!BV9</f>
        <v>3.08</v>
      </c>
    </row>
    <row r="14" spans="1:9" ht="29" thickBot="1" x14ac:dyDescent="0.4">
      <c r="A14" s="147" t="s">
        <v>15</v>
      </c>
      <c r="B14" s="148" t="s">
        <v>41</v>
      </c>
      <c r="C14" s="149"/>
      <c r="D14" s="150">
        <f>SUM(D24*D36,D25*D37,D26*D38)</f>
        <v>8.8861999999999988</v>
      </c>
      <c r="E14" s="150">
        <f>SUM(E24*E36,E25*E37,E26*E38)</f>
        <v>4.0498159999999999</v>
      </c>
      <c r="F14" s="150">
        <f>SUM(F16*F28,F17*F29,F18*F30,F19*F31,F20*F32,F21*F33,F22*F34,F23*F35)</f>
        <v>96.59999999999998</v>
      </c>
      <c r="G14" s="151" t="e">
        <f>SUM(#REF!*#REF!,G23*G32,#REF!*#REF!,#REF!*#REF!,#REF!*#REF!,#REF!*#REF!)</f>
        <v>#REF!</v>
      </c>
    </row>
    <row r="15" spans="1:9" ht="30" customHeight="1" x14ac:dyDescent="0.35">
      <c r="A15" s="483" t="s">
        <v>128</v>
      </c>
      <c r="B15" s="152" t="s">
        <v>39</v>
      </c>
      <c r="C15" s="153"/>
      <c r="D15" s="154"/>
      <c r="E15" s="154"/>
      <c r="F15" s="155"/>
      <c r="G15" s="156"/>
    </row>
    <row r="16" spans="1:9" x14ac:dyDescent="0.35">
      <c r="A16" s="484"/>
      <c r="B16" s="157" t="s">
        <v>61</v>
      </c>
      <c r="C16" s="158" t="s">
        <v>25</v>
      </c>
      <c r="D16" s="159"/>
      <c r="E16" s="159"/>
      <c r="F16" s="160">
        <v>5</v>
      </c>
      <c r="G16" s="161"/>
    </row>
    <row r="17" spans="1:7" x14ac:dyDescent="0.35">
      <c r="A17" s="484"/>
      <c r="B17" s="162" t="s">
        <v>129</v>
      </c>
      <c r="C17" s="163" t="s">
        <v>25</v>
      </c>
      <c r="D17" s="164"/>
      <c r="E17" s="164"/>
      <c r="F17" s="160">
        <v>5</v>
      </c>
      <c r="G17" s="165"/>
    </row>
    <row r="18" spans="1:7" x14ac:dyDescent="0.35">
      <c r="A18" s="484"/>
      <c r="B18" s="162" t="s">
        <v>130</v>
      </c>
      <c r="C18" s="163" t="s">
        <v>25</v>
      </c>
      <c r="D18" s="164"/>
      <c r="E18" s="164"/>
      <c r="F18" s="160">
        <v>2</v>
      </c>
      <c r="G18" s="165"/>
    </row>
    <row r="19" spans="1:7" x14ac:dyDescent="0.35">
      <c r="A19" s="484"/>
      <c r="B19" s="162" t="s">
        <v>71</v>
      </c>
      <c r="C19" s="163" t="s">
        <v>25</v>
      </c>
      <c r="D19" s="164"/>
      <c r="E19" s="164"/>
      <c r="F19" s="160">
        <v>10</v>
      </c>
      <c r="G19" s="165"/>
    </row>
    <row r="20" spans="1:7" x14ac:dyDescent="0.35">
      <c r="A20" s="484"/>
      <c r="B20" s="162" t="s">
        <v>131</v>
      </c>
      <c r="C20" s="163" t="s">
        <v>25</v>
      </c>
      <c r="D20" s="166"/>
      <c r="E20" s="166"/>
      <c r="F20" s="167">
        <v>5</v>
      </c>
      <c r="G20" s="165"/>
    </row>
    <row r="21" spans="1:7" x14ac:dyDescent="0.35">
      <c r="A21" s="484"/>
      <c r="B21" s="162" t="s">
        <v>132</v>
      </c>
      <c r="C21" s="168" t="s">
        <v>59</v>
      </c>
      <c r="D21" s="166"/>
      <c r="E21" s="166"/>
      <c r="F21" s="167">
        <v>1</v>
      </c>
      <c r="G21" s="165"/>
    </row>
    <row r="22" spans="1:7" x14ac:dyDescent="0.35">
      <c r="A22" s="484"/>
      <c r="B22" s="162" t="s">
        <v>133</v>
      </c>
      <c r="C22" s="168" t="s">
        <v>59</v>
      </c>
      <c r="D22" s="166"/>
      <c r="E22" s="166"/>
      <c r="F22" s="167">
        <v>1</v>
      </c>
      <c r="G22" s="165"/>
    </row>
    <row r="23" spans="1:7" x14ac:dyDescent="0.35">
      <c r="A23" s="484"/>
      <c r="B23" s="162" t="s">
        <v>62</v>
      </c>
      <c r="C23" s="163" t="s">
        <v>60</v>
      </c>
      <c r="D23" s="166"/>
      <c r="E23" s="166"/>
      <c r="F23" s="167">
        <v>66</v>
      </c>
      <c r="G23" s="169"/>
    </row>
    <row r="24" spans="1:7" x14ac:dyDescent="0.35">
      <c r="A24" s="484"/>
      <c r="B24" s="162" t="s">
        <v>134</v>
      </c>
      <c r="C24" s="163" t="s">
        <v>59</v>
      </c>
      <c r="D24" s="170">
        <v>0.745</v>
      </c>
      <c r="E24" s="170">
        <v>0.34660000000000002</v>
      </c>
      <c r="F24" s="167"/>
      <c r="G24" s="169"/>
    </row>
    <row r="25" spans="1:7" x14ac:dyDescent="0.35">
      <c r="A25" s="484"/>
      <c r="B25" s="171" t="s">
        <v>135</v>
      </c>
      <c r="C25" s="163" t="s">
        <v>59</v>
      </c>
      <c r="D25" s="172">
        <v>44</v>
      </c>
      <c r="E25" s="172">
        <v>20</v>
      </c>
      <c r="F25" s="173"/>
      <c r="G25" s="169"/>
    </row>
    <row r="26" spans="1:7" ht="15" thickBot="1" x14ac:dyDescent="0.4">
      <c r="A26" s="484"/>
      <c r="B26" s="174" t="s">
        <v>136</v>
      </c>
      <c r="C26" s="175" t="s">
        <v>59</v>
      </c>
      <c r="D26" s="176">
        <v>45</v>
      </c>
      <c r="E26" s="176">
        <v>20</v>
      </c>
      <c r="F26" s="177"/>
      <c r="G26" s="178"/>
    </row>
    <row r="27" spans="1:7" ht="28.5" x14ac:dyDescent="0.35">
      <c r="A27" s="484"/>
      <c r="B27" s="179" t="s">
        <v>40</v>
      </c>
      <c r="C27" s="486" t="s">
        <v>26</v>
      </c>
      <c r="D27" s="180"/>
      <c r="E27" s="159"/>
      <c r="F27" s="164"/>
      <c r="G27" s="161"/>
    </row>
    <row r="28" spans="1:7" x14ac:dyDescent="0.35">
      <c r="A28" s="484"/>
      <c r="B28" s="157" t="s">
        <v>61</v>
      </c>
      <c r="C28" s="486"/>
      <c r="D28" s="180"/>
      <c r="E28" s="159"/>
      <c r="F28" s="164">
        <v>2.472</v>
      </c>
      <c r="G28" s="161"/>
    </row>
    <row r="29" spans="1:7" x14ac:dyDescent="0.35">
      <c r="A29" s="484"/>
      <c r="B29" s="157" t="s">
        <v>129</v>
      </c>
      <c r="C29" s="486"/>
      <c r="D29" s="180"/>
      <c r="E29" s="159"/>
      <c r="F29" s="164">
        <v>2.5139999999999998</v>
      </c>
      <c r="G29" s="161"/>
    </row>
    <row r="30" spans="1:7" x14ac:dyDescent="0.35">
      <c r="A30" s="484"/>
      <c r="B30" s="157" t="s">
        <v>130</v>
      </c>
      <c r="C30" s="486"/>
      <c r="D30" s="180"/>
      <c r="E30" s="159"/>
      <c r="F30" s="164">
        <v>5.31</v>
      </c>
      <c r="G30" s="161"/>
    </row>
    <row r="31" spans="1:7" x14ac:dyDescent="0.35">
      <c r="A31" s="484"/>
      <c r="B31" s="157" t="s">
        <v>71</v>
      </c>
      <c r="C31" s="486"/>
      <c r="D31" s="180"/>
      <c r="E31" s="159"/>
      <c r="F31" s="164">
        <v>2.86</v>
      </c>
      <c r="G31" s="161"/>
    </row>
    <row r="32" spans="1:7" x14ac:dyDescent="0.35">
      <c r="A32" s="484"/>
      <c r="B32" s="157" t="s">
        <v>131</v>
      </c>
      <c r="C32" s="486"/>
      <c r="D32" s="181"/>
      <c r="E32" s="182"/>
      <c r="F32" s="166">
        <v>3.0459999999999998</v>
      </c>
      <c r="G32" s="183"/>
    </row>
    <row r="33" spans="1:9" x14ac:dyDescent="0.35">
      <c r="A33" s="484"/>
      <c r="B33" s="157" t="s">
        <v>132</v>
      </c>
      <c r="C33" s="486"/>
      <c r="D33" s="181"/>
      <c r="E33" s="182"/>
      <c r="F33" s="166">
        <v>1.38</v>
      </c>
      <c r="G33" s="183"/>
    </row>
    <row r="34" spans="1:9" x14ac:dyDescent="0.35">
      <c r="A34" s="484"/>
      <c r="B34" s="157" t="s">
        <v>133</v>
      </c>
      <c r="C34" s="486"/>
      <c r="D34" s="181"/>
      <c r="E34" s="182"/>
      <c r="F34" s="166">
        <v>1.32</v>
      </c>
      <c r="G34" s="183"/>
    </row>
    <row r="35" spans="1:9" x14ac:dyDescent="0.35">
      <c r="A35" s="484"/>
      <c r="B35" s="157" t="s">
        <v>62</v>
      </c>
      <c r="C35" s="486"/>
      <c r="D35" s="181"/>
      <c r="E35" s="182"/>
      <c r="F35" s="166">
        <v>0.22</v>
      </c>
      <c r="G35" s="183"/>
    </row>
    <row r="36" spans="1:9" x14ac:dyDescent="0.35">
      <c r="A36" s="484"/>
      <c r="B36" s="157" t="s">
        <v>134</v>
      </c>
      <c r="C36" s="486"/>
      <c r="D36" s="181">
        <v>4.76</v>
      </c>
      <c r="E36" s="182">
        <v>4.76</v>
      </c>
      <c r="F36" s="166"/>
      <c r="G36" s="183"/>
    </row>
    <row r="37" spans="1:9" x14ac:dyDescent="0.35">
      <c r="A37" s="484"/>
      <c r="B37" s="184" t="s">
        <v>135</v>
      </c>
      <c r="C37" s="486"/>
      <c r="D37" s="181">
        <v>0.06</v>
      </c>
      <c r="E37" s="182">
        <v>0.06</v>
      </c>
      <c r="F37" s="166"/>
      <c r="G37" s="183"/>
    </row>
    <row r="38" spans="1:9" ht="15" thickBot="1" x14ac:dyDescent="0.4">
      <c r="A38" s="485"/>
      <c r="B38" s="184" t="s">
        <v>137</v>
      </c>
      <c r="C38" s="487"/>
      <c r="D38" s="181">
        <v>0.06</v>
      </c>
      <c r="E38" s="182">
        <v>0.06</v>
      </c>
      <c r="F38" s="166"/>
      <c r="G38" s="183"/>
    </row>
    <row r="39" spans="1:9" x14ac:dyDescent="0.35">
      <c r="A39" s="185" t="s">
        <v>27</v>
      </c>
      <c r="B39" s="186" t="s">
        <v>53</v>
      </c>
      <c r="C39" s="187"/>
      <c r="D39" s="188">
        <f>((D42/D43)-(D40/D41))*D41</f>
        <v>15499.471908594263</v>
      </c>
      <c r="E39" s="188">
        <f>((E42/E43)-(E40/E41))*E41</f>
        <v>10485.040928081298</v>
      </c>
      <c r="F39" s="188">
        <f>((F42/F43)-(F40/F41))*F41</f>
        <v>4970.7175888909569</v>
      </c>
      <c r="G39" s="189" t="e">
        <f>((G42/G43)-(G40/G41))*G41</f>
        <v>#DIV/0!</v>
      </c>
    </row>
    <row r="40" spans="1:9" ht="56.5" x14ac:dyDescent="0.35">
      <c r="A40" s="488" t="s">
        <v>128</v>
      </c>
      <c r="B40" s="190" t="s">
        <v>36</v>
      </c>
      <c r="C40" s="191" t="s">
        <v>30</v>
      </c>
      <c r="D40" s="192">
        <v>110380.73</v>
      </c>
      <c r="E40" s="193">
        <v>45565.9</v>
      </c>
      <c r="F40" s="192">
        <v>38461.82</v>
      </c>
      <c r="G40" s="194"/>
      <c r="H40" s="235">
        <f ca="1">atskaites_jedox!BQ9</f>
        <v>163445.29999999999</v>
      </c>
      <c r="I40" s="235">
        <f ca="1">atskaites_jedox!BR9</f>
        <v>33789.99</v>
      </c>
    </row>
    <row r="41" spans="1:9" x14ac:dyDescent="0.35">
      <c r="A41" s="489"/>
      <c r="B41" s="190" t="s">
        <v>52</v>
      </c>
      <c r="C41" s="191" t="s">
        <v>7</v>
      </c>
      <c r="D41" s="192">
        <f>D10</f>
        <v>185411.79999999996</v>
      </c>
      <c r="E41" s="192">
        <f>E10</f>
        <v>84612.799999999988</v>
      </c>
      <c r="F41" s="192">
        <f>F10</f>
        <v>55825.820000000007</v>
      </c>
      <c r="G41" s="194"/>
      <c r="H41" s="235">
        <f ca="1">atskaites_jedox!BS9</f>
        <v>269270.81</v>
      </c>
      <c r="I41" s="235">
        <f ca="1">atskaites_jedox!BT9</f>
        <v>55667.9</v>
      </c>
    </row>
    <row r="42" spans="1:9" ht="56.5" x14ac:dyDescent="0.35">
      <c r="A42" s="488" t="s">
        <v>138</v>
      </c>
      <c r="B42" s="190" t="s">
        <v>37</v>
      </c>
      <c r="C42" s="191" t="s">
        <v>30</v>
      </c>
      <c r="D42" s="192">
        <v>169015.44</v>
      </c>
      <c r="E42" s="192">
        <v>57357.82</v>
      </c>
      <c r="F42" s="192">
        <v>46667.92</v>
      </c>
      <c r="G42" s="194"/>
      <c r="H42" s="235">
        <f ca="1">atskaites_jedox!U9</f>
        <v>216589.08</v>
      </c>
      <c r="I42" s="235">
        <f ca="1">atskaites_jedox!V9</f>
        <v>41531.620000000003</v>
      </c>
    </row>
    <row r="43" spans="1:9" ht="15" thickBot="1" x14ac:dyDescent="0.4">
      <c r="A43" s="489"/>
      <c r="B43" s="195" t="s">
        <v>38</v>
      </c>
      <c r="C43" s="196" t="s">
        <v>7</v>
      </c>
      <c r="D43" s="197">
        <v>248946.66900000008</v>
      </c>
      <c r="E43" s="197">
        <v>86585.624999999985</v>
      </c>
      <c r="F43" s="197">
        <v>59984.404465484637</v>
      </c>
      <c r="G43" s="198"/>
      <c r="H43" s="235">
        <f ca="1">atskaites_jedox!W9</f>
        <v>300428.26</v>
      </c>
      <c r="I43" s="235">
        <f ca="1">atskaites_jedox!X9</f>
        <v>57586.8</v>
      </c>
    </row>
    <row r="44" spans="1:9" x14ac:dyDescent="0.35">
      <c r="A44" s="199"/>
      <c r="B44" s="199"/>
      <c r="C44" s="199"/>
      <c r="D44" s="199"/>
      <c r="E44" s="199"/>
      <c r="F44" s="199"/>
      <c r="G44" s="199"/>
    </row>
    <row r="45" spans="1:9" x14ac:dyDescent="0.35">
      <c r="A45" s="199"/>
      <c r="B45" s="199"/>
      <c r="C45" s="199"/>
      <c r="D45" s="199"/>
      <c r="E45" s="199"/>
      <c r="F45" s="199"/>
      <c r="G45" s="199"/>
    </row>
    <row r="46" spans="1:9" ht="15" thickBot="1" x14ac:dyDescent="0.4">
      <c r="A46" s="199"/>
      <c r="B46" s="200" t="s">
        <v>88</v>
      </c>
      <c r="C46" s="201"/>
      <c r="D46" s="201"/>
      <c r="E46" s="201"/>
      <c r="F46" s="201"/>
      <c r="G46" s="201"/>
    </row>
    <row r="47" spans="1:9" ht="15" thickTop="1" x14ac:dyDescent="0.35">
      <c r="A47" s="199"/>
      <c r="B47" s="199"/>
      <c r="C47" s="199"/>
      <c r="D47" s="199"/>
      <c r="E47" s="199"/>
      <c r="F47" s="199"/>
      <c r="G47" s="199"/>
    </row>
    <row r="48" spans="1:9" x14ac:dyDescent="0.35">
      <c r="A48" s="199"/>
      <c r="B48" s="199"/>
      <c r="C48" s="199"/>
      <c r="D48" s="199"/>
      <c r="E48" s="199"/>
      <c r="F48" s="199"/>
      <c r="G48" s="199"/>
    </row>
    <row r="49" spans="1:7" x14ac:dyDescent="0.35">
      <c r="A49" s="199" t="s">
        <v>9</v>
      </c>
      <c r="B49" s="199"/>
      <c r="C49" s="199"/>
      <c r="D49" s="199"/>
      <c r="E49" s="199"/>
      <c r="F49" s="199"/>
      <c r="G49" s="199"/>
    </row>
    <row r="50" spans="1:7" x14ac:dyDescent="0.35">
      <c r="A50" s="472" t="s">
        <v>24</v>
      </c>
      <c r="B50" s="472"/>
      <c r="C50" s="472"/>
      <c r="D50" s="472"/>
      <c r="E50" s="472"/>
      <c r="F50" s="472"/>
      <c r="G50" s="472"/>
    </row>
    <row r="51" spans="1:7" x14ac:dyDescent="0.35">
      <c r="A51" s="202" t="s">
        <v>23</v>
      </c>
      <c r="B51" s="202"/>
      <c r="C51" s="202"/>
      <c r="D51" s="202"/>
      <c r="E51" s="202"/>
      <c r="F51" s="202"/>
      <c r="G51" s="202"/>
    </row>
    <row r="52" spans="1:7" x14ac:dyDescent="0.35">
      <c r="A52" s="490" t="s">
        <v>16</v>
      </c>
      <c r="B52" s="490"/>
      <c r="C52" s="490"/>
      <c r="D52" s="490"/>
      <c r="E52" s="490"/>
      <c r="F52" s="490"/>
      <c r="G52" s="490"/>
    </row>
    <row r="53" spans="1:7" x14ac:dyDescent="0.35">
      <c r="A53" s="472" t="s">
        <v>18</v>
      </c>
      <c r="B53" s="472"/>
      <c r="C53" s="472"/>
      <c r="D53" s="472"/>
      <c r="E53" s="472"/>
      <c r="F53" s="472"/>
      <c r="G53" s="472"/>
    </row>
    <row r="54" spans="1:7" ht="31.5" customHeight="1" x14ac:dyDescent="0.35">
      <c r="A54" s="472" t="s">
        <v>31</v>
      </c>
      <c r="B54" s="472"/>
      <c r="C54" s="472"/>
      <c r="D54" s="472"/>
      <c r="E54" s="472"/>
      <c r="F54" s="472"/>
      <c r="G54" s="472"/>
    </row>
    <row r="55" spans="1:7" x14ac:dyDescent="0.35">
      <c r="A55" s="202"/>
      <c r="B55" s="202"/>
      <c r="C55" s="202"/>
      <c r="D55" s="202"/>
      <c r="E55" s="202"/>
      <c r="F55" s="202"/>
      <c r="G55" s="202"/>
    </row>
    <row r="56" spans="1:7" x14ac:dyDescent="0.35">
      <c r="A56" s="203" t="s">
        <v>17</v>
      </c>
      <c r="B56" s="202"/>
      <c r="C56" s="202"/>
      <c r="D56" s="202"/>
      <c r="E56" s="202"/>
      <c r="F56" s="202"/>
      <c r="G56" s="202"/>
    </row>
    <row r="57" spans="1:7" x14ac:dyDescent="0.35">
      <c r="A57" s="472" t="s">
        <v>32</v>
      </c>
      <c r="B57" s="472"/>
      <c r="C57" s="472"/>
      <c r="D57" s="472"/>
      <c r="E57" s="472"/>
      <c r="F57" s="472"/>
      <c r="G57" s="472"/>
    </row>
    <row r="58" spans="1:7" x14ac:dyDescent="0.35">
      <c r="A58" s="472" t="s">
        <v>19</v>
      </c>
      <c r="B58" s="472"/>
      <c r="C58" s="472"/>
      <c r="D58" s="472"/>
      <c r="E58" s="472"/>
      <c r="F58" s="472"/>
      <c r="G58" s="472"/>
    </row>
    <row r="59" spans="1:7" x14ac:dyDescent="0.35">
      <c r="A59" s="472" t="s">
        <v>21</v>
      </c>
      <c r="B59" s="472"/>
      <c r="C59" s="472"/>
      <c r="D59" s="472"/>
      <c r="E59" s="472"/>
      <c r="F59" s="472"/>
      <c r="G59" s="472"/>
    </row>
    <row r="60" spans="1:7" x14ac:dyDescent="0.35">
      <c r="A60" s="472" t="s">
        <v>33</v>
      </c>
      <c r="B60" s="472"/>
      <c r="C60" s="472"/>
      <c r="D60" s="472"/>
      <c r="E60" s="472"/>
      <c r="F60" s="472"/>
      <c r="G60" s="472"/>
    </row>
    <row r="61" spans="1:7" x14ac:dyDescent="0.35">
      <c r="A61" s="472" t="s">
        <v>20</v>
      </c>
      <c r="B61" s="472"/>
      <c r="C61" s="472"/>
      <c r="D61" s="472"/>
      <c r="E61" s="472"/>
      <c r="F61" s="472"/>
      <c r="G61" s="472"/>
    </row>
    <row r="62" spans="1:7" x14ac:dyDescent="0.35">
      <c r="A62" s="491" t="s">
        <v>22</v>
      </c>
      <c r="B62" s="491"/>
      <c r="C62" s="491"/>
      <c r="D62" s="491"/>
      <c r="E62" s="491"/>
      <c r="F62" s="491"/>
      <c r="G62" s="491"/>
    </row>
    <row r="63" spans="1:7" x14ac:dyDescent="0.35">
      <c r="A63" s="472" t="s">
        <v>34</v>
      </c>
      <c r="B63" s="472"/>
      <c r="C63" s="472"/>
      <c r="D63" s="472"/>
      <c r="E63" s="472"/>
      <c r="F63" s="472"/>
      <c r="G63" s="472"/>
    </row>
    <row r="64" spans="1:7" ht="45.75" customHeight="1" x14ac:dyDescent="0.35">
      <c r="A64" s="472" t="s">
        <v>35</v>
      </c>
      <c r="B64" s="472"/>
      <c r="C64" s="472"/>
      <c r="D64" s="472"/>
      <c r="E64" s="472"/>
      <c r="F64" s="472"/>
      <c r="G64" s="472"/>
    </row>
  </sheetData>
  <mergeCells count="20">
    <mergeCell ref="A63:G63"/>
    <mergeCell ref="A64:G64"/>
    <mergeCell ref="A57:G57"/>
    <mergeCell ref="A58:G58"/>
    <mergeCell ref="A59:G59"/>
    <mergeCell ref="A60:G60"/>
    <mergeCell ref="A61:G61"/>
    <mergeCell ref="A62:G62"/>
    <mergeCell ref="A54:G54"/>
    <mergeCell ref="A1:G1"/>
    <mergeCell ref="A4:A12"/>
    <mergeCell ref="C4:C8"/>
    <mergeCell ref="C9:C12"/>
    <mergeCell ref="A15:A38"/>
    <mergeCell ref="C27:C38"/>
    <mergeCell ref="A40:A41"/>
    <mergeCell ref="A42:A43"/>
    <mergeCell ref="A50:G50"/>
    <mergeCell ref="A52:G52"/>
    <mergeCell ref="A53:G53"/>
  </mergeCells>
  <pageMargins left="0.7" right="0.7" top="0.75" bottom="0.75" header="0.3" footer="0.3"/>
  <pageSetup paperSize="9"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27195-E1A5-4FA5-89C0-FA47E77DE695}">
  <sheetPr>
    <tabColor theme="4" tint="0.59999389629810485"/>
    <pageSetUpPr fitToPage="1"/>
  </sheetPr>
  <dimension ref="A1:N50"/>
  <sheetViews>
    <sheetView tabSelected="1" zoomScale="85" zoomScaleNormal="85" workbookViewId="0">
      <selection activeCell="L2" sqref="L2"/>
    </sheetView>
  </sheetViews>
  <sheetFormatPr defaultColWidth="9.1796875" defaultRowHeight="14.5" x14ac:dyDescent="0.35"/>
  <cols>
    <col min="1" max="1" width="22.1796875" style="251" bestFit="1" customWidth="1"/>
    <col min="2" max="2" width="50.453125" style="251" customWidth="1"/>
    <col min="3" max="3" width="11.81640625" style="251" bestFit="1" customWidth="1"/>
    <col min="4" max="4" width="12" style="251" bestFit="1" customWidth="1"/>
    <col min="5" max="5" width="13.7265625" style="251" customWidth="1"/>
    <col min="6" max="6" width="10.81640625" style="251" bestFit="1" customWidth="1"/>
    <col min="7" max="7" width="10.26953125" style="251" customWidth="1"/>
    <col min="8" max="8" width="10.81640625" style="251" hidden="1" customWidth="1"/>
    <col min="9" max="9" width="10.26953125" style="251" hidden="1" customWidth="1"/>
    <col min="10" max="10" width="10.26953125" style="251" bestFit="1" customWidth="1"/>
    <col min="11" max="16384" width="9.1796875" style="251"/>
  </cols>
  <sheetData>
    <row r="1" spans="1:12" ht="41.25" customHeight="1" x14ac:dyDescent="0.35">
      <c r="A1" s="497" t="s">
        <v>68</v>
      </c>
      <c r="B1" s="497"/>
      <c r="C1" s="497"/>
      <c r="D1" s="497"/>
      <c r="E1" s="497"/>
      <c r="F1" s="497"/>
      <c r="G1" s="497"/>
      <c r="H1" s="250"/>
    </row>
    <row r="2" spans="1:12" ht="28.5" thickBot="1" x14ac:dyDescent="0.4">
      <c r="A2" s="252" t="s">
        <v>3</v>
      </c>
      <c r="B2" s="253"/>
      <c r="C2" s="254" t="s">
        <v>4</v>
      </c>
      <c r="D2" s="254" t="s">
        <v>0</v>
      </c>
      <c r="E2" s="255" t="s">
        <v>10</v>
      </c>
      <c r="F2" s="254" t="s">
        <v>1</v>
      </c>
      <c r="G2" s="254" t="s">
        <v>2</v>
      </c>
      <c r="H2" s="250"/>
    </row>
    <row r="3" spans="1:12" ht="15" thickBot="1" x14ac:dyDescent="0.4">
      <c r="A3" s="256" t="s">
        <v>14</v>
      </c>
      <c r="B3" s="257" t="s">
        <v>51</v>
      </c>
      <c r="C3" s="258"/>
      <c r="D3" s="259">
        <f>(D10-D9)*D13</f>
        <v>0</v>
      </c>
      <c r="E3" s="259">
        <f>(E10-E9)*E13</f>
        <v>0</v>
      </c>
      <c r="F3" s="259">
        <f>(F10-F9)*F13</f>
        <v>0</v>
      </c>
      <c r="G3" s="260">
        <f>(G10-G9)*G13</f>
        <v>0</v>
      </c>
      <c r="H3" s="250"/>
    </row>
    <row r="4" spans="1:12" x14ac:dyDescent="0.35">
      <c r="A4" s="498" t="s">
        <v>139</v>
      </c>
      <c r="B4" s="261" t="s">
        <v>11</v>
      </c>
      <c r="C4" s="501" t="s">
        <v>5</v>
      </c>
      <c r="D4" s="262">
        <v>43</v>
      </c>
      <c r="E4" s="263">
        <v>13</v>
      </c>
      <c r="F4" s="262">
        <v>20</v>
      </c>
      <c r="G4" s="264"/>
      <c r="H4" s="250"/>
    </row>
    <row r="5" spans="1:12" x14ac:dyDescent="0.35">
      <c r="A5" s="499"/>
      <c r="B5" s="265" t="s">
        <v>48</v>
      </c>
      <c r="C5" s="502"/>
      <c r="D5" s="266">
        <v>13439</v>
      </c>
      <c r="E5" s="266">
        <v>9002</v>
      </c>
      <c r="F5" s="267">
        <v>8160</v>
      </c>
      <c r="G5" s="268"/>
      <c r="H5" s="250"/>
    </row>
    <row r="6" spans="1:12" x14ac:dyDescent="0.35">
      <c r="A6" s="499"/>
      <c r="B6" s="265" t="s">
        <v>49</v>
      </c>
      <c r="C6" s="502"/>
      <c r="D6" s="266">
        <f>D5+D7-D8</f>
        <v>13439</v>
      </c>
      <c r="E6" s="266">
        <f t="shared" ref="E6:G6" si="0">E5+E7-E8</f>
        <v>9002</v>
      </c>
      <c r="F6" s="266">
        <f t="shared" si="0"/>
        <v>8160</v>
      </c>
      <c r="G6" s="268">
        <f t="shared" si="0"/>
        <v>0</v>
      </c>
      <c r="H6" s="250"/>
    </row>
    <row r="7" spans="1:12" x14ac:dyDescent="0.35">
      <c r="A7" s="499"/>
      <c r="B7" s="269" t="s">
        <v>44</v>
      </c>
      <c r="C7" s="502"/>
      <c r="D7" s="266">
        <v>0</v>
      </c>
      <c r="E7" s="266">
        <v>0</v>
      </c>
      <c r="F7" s="266">
        <v>0</v>
      </c>
      <c r="G7" s="268"/>
      <c r="H7" s="250"/>
    </row>
    <row r="8" spans="1:12" x14ac:dyDescent="0.35">
      <c r="A8" s="499"/>
      <c r="B8" s="269" t="s">
        <v>45</v>
      </c>
      <c r="C8" s="503"/>
      <c r="D8" s="266">
        <v>0</v>
      </c>
      <c r="E8" s="266">
        <v>0</v>
      </c>
      <c r="F8" s="266">
        <v>0</v>
      </c>
      <c r="G8" s="268"/>
      <c r="H8" s="250"/>
    </row>
    <row r="9" spans="1:12" x14ac:dyDescent="0.35">
      <c r="A9" s="499"/>
      <c r="B9" s="265" t="s">
        <v>42</v>
      </c>
      <c r="C9" s="504" t="s">
        <v>7</v>
      </c>
      <c r="D9" s="270">
        <v>194634.06</v>
      </c>
      <c r="E9" s="266">
        <v>87238.84</v>
      </c>
      <c r="F9" s="266">
        <v>58103.55</v>
      </c>
      <c r="G9" s="268"/>
      <c r="H9" s="250"/>
    </row>
    <row r="10" spans="1:12" x14ac:dyDescent="0.35">
      <c r="A10" s="499"/>
      <c r="B10" s="265" t="s">
        <v>50</v>
      </c>
      <c r="C10" s="505"/>
      <c r="D10" s="266">
        <f t="shared" ref="D10:G10" si="1">D9+D11-D12</f>
        <v>194634.06</v>
      </c>
      <c r="E10" s="266">
        <f t="shared" si="1"/>
        <v>87238.84</v>
      </c>
      <c r="F10" s="266">
        <f t="shared" si="1"/>
        <v>58103.55</v>
      </c>
      <c r="G10" s="268">
        <f t="shared" si="1"/>
        <v>0</v>
      </c>
      <c r="H10" s="250"/>
      <c r="I10" s="271"/>
      <c r="J10" s="272"/>
      <c r="K10" s="273"/>
      <c r="L10" s="273"/>
    </row>
    <row r="11" spans="1:12" x14ac:dyDescent="0.35">
      <c r="A11" s="499"/>
      <c r="B11" s="274" t="s">
        <v>46</v>
      </c>
      <c r="C11" s="505"/>
      <c r="D11" s="266">
        <v>0</v>
      </c>
      <c r="E11" s="266">
        <v>0</v>
      </c>
      <c r="F11" s="266">
        <v>0</v>
      </c>
      <c r="G11" s="268"/>
      <c r="H11" s="250"/>
    </row>
    <row r="12" spans="1:12" x14ac:dyDescent="0.35">
      <c r="A12" s="500"/>
      <c r="B12" s="274" t="s">
        <v>47</v>
      </c>
      <c r="C12" s="506"/>
      <c r="D12" s="266">
        <v>0</v>
      </c>
      <c r="E12" s="266">
        <v>0</v>
      </c>
      <c r="F12" s="266">
        <v>0</v>
      </c>
      <c r="G12" s="268"/>
      <c r="H12" s="250"/>
    </row>
    <row r="13" spans="1:12" ht="15" thickBot="1" x14ac:dyDescent="0.4">
      <c r="A13" s="275" t="s">
        <v>139</v>
      </c>
      <c r="B13" s="276" t="s">
        <v>43</v>
      </c>
      <c r="C13" s="277" t="s">
        <v>8</v>
      </c>
      <c r="D13" s="278">
        <v>1.6415</v>
      </c>
      <c r="E13" s="278">
        <v>0.84609999999999996</v>
      </c>
      <c r="F13" s="278">
        <v>3.0848</v>
      </c>
      <c r="G13" s="279"/>
      <c r="H13" s="250"/>
    </row>
    <row r="14" spans="1:12" ht="29" thickBot="1" x14ac:dyDescent="0.4">
      <c r="A14" s="280" t="s">
        <v>15</v>
      </c>
      <c r="B14" s="281" t="s">
        <v>41</v>
      </c>
      <c r="C14" s="282"/>
      <c r="D14" s="283">
        <f>SUM(D16*D21,D17*D22,D18*D23,D19*D24)</f>
        <v>10.538658</v>
      </c>
      <c r="E14" s="283">
        <f t="shared" ref="E14" si="2">SUM(E16*E21,E17*E22,E18*E23,E19*E24)</f>
        <v>4.7065900000000003</v>
      </c>
      <c r="F14" s="283">
        <f>SUM(F16*F21,F17*F22,F18*F23,F19*F24)</f>
        <v>30.2</v>
      </c>
      <c r="G14" s="284" t="e">
        <f>SUM(#REF!*#REF!,#REF!*#REF!,#REF!*#REF!,#REF!*#REF!,#REF!*#REF!,#REF!*#REF!)</f>
        <v>#REF!</v>
      </c>
      <c r="H14" s="250"/>
    </row>
    <row r="15" spans="1:12" ht="30" customHeight="1" x14ac:dyDescent="0.35">
      <c r="A15" s="507" t="s">
        <v>139</v>
      </c>
      <c r="B15" s="285" t="s">
        <v>39</v>
      </c>
      <c r="C15" s="286"/>
      <c r="D15" s="287"/>
      <c r="E15" s="287"/>
      <c r="F15" s="288"/>
      <c r="G15" s="289"/>
      <c r="H15" s="250"/>
    </row>
    <row r="16" spans="1:12" x14ac:dyDescent="0.35">
      <c r="A16" s="508"/>
      <c r="B16" s="290" t="s">
        <v>61</v>
      </c>
      <c r="C16" s="291" t="s">
        <v>25</v>
      </c>
      <c r="D16" s="292"/>
      <c r="E16" s="292"/>
      <c r="F16" s="293">
        <v>5</v>
      </c>
      <c r="G16" s="294"/>
      <c r="H16" s="250"/>
    </row>
    <row r="17" spans="1:14" x14ac:dyDescent="0.35">
      <c r="A17" s="508"/>
      <c r="B17" s="295" t="s">
        <v>140</v>
      </c>
      <c r="C17" s="296" t="s">
        <v>59</v>
      </c>
      <c r="D17" s="297">
        <v>0.50790000000000002</v>
      </c>
      <c r="E17" s="292">
        <v>0.22700000000000001</v>
      </c>
      <c r="F17" s="293"/>
      <c r="G17" s="298"/>
      <c r="H17" s="250"/>
    </row>
    <row r="18" spans="1:14" x14ac:dyDescent="0.35">
      <c r="A18" s="508"/>
      <c r="B18" s="295" t="s">
        <v>141</v>
      </c>
      <c r="C18" s="296" t="s">
        <v>59</v>
      </c>
      <c r="D18" s="299">
        <v>0.76229999999999998</v>
      </c>
      <c r="E18" s="299">
        <v>0.34</v>
      </c>
      <c r="F18" s="293"/>
      <c r="G18" s="298"/>
      <c r="H18" s="250"/>
    </row>
    <row r="19" spans="1:14" ht="15" thickBot="1" x14ac:dyDescent="0.4">
      <c r="A19" s="508"/>
      <c r="B19" s="300" t="s">
        <v>135</v>
      </c>
      <c r="C19" s="301" t="s">
        <v>59</v>
      </c>
      <c r="D19" s="302"/>
      <c r="E19" s="302"/>
      <c r="F19" s="302">
        <v>50</v>
      </c>
      <c r="G19" s="303"/>
      <c r="H19" s="250"/>
    </row>
    <row r="20" spans="1:14" ht="28.5" x14ac:dyDescent="0.35">
      <c r="A20" s="508"/>
      <c r="B20" s="304" t="s">
        <v>40</v>
      </c>
      <c r="C20" s="509" t="s">
        <v>26</v>
      </c>
      <c r="D20" s="297"/>
      <c r="E20" s="292"/>
      <c r="F20" s="299"/>
      <c r="G20" s="294"/>
      <c r="H20" s="250"/>
    </row>
    <row r="21" spans="1:14" x14ac:dyDescent="0.35">
      <c r="A21" s="508"/>
      <c r="B21" s="290" t="s">
        <v>61</v>
      </c>
      <c r="C21" s="509"/>
      <c r="D21" s="297"/>
      <c r="E21" s="292"/>
      <c r="F21" s="299">
        <v>2.472</v>
      </c>
      <c r="G21" s="294"/>
      <c r="H21" s="250"/>
    </row>
    <row r="22" spans="1:14" x14ac:dyDescent="0.35">
      <c r="A22" s="508"/>
      <c r="B22" s="295" t="s">
        <v>140</v>
      </c>
      <c r="C22" s="509"/>
      <c r="D22" s="297">
        <v>13.17</v>
      </c>
      <c r="E22" s="292">
        <v>13.17</v>
      </c>
      <c r="F22" s="299"/>
      <c r="G22" s="294"/>
      <c r="H22" s="250"/>
    </row>
    <row r="23" spans="1:14" x14ac:dyDescent="0.35">
      <c r="A23" s="508"/>
      <c r="B23" s="295" t="s">
        <v>141</v>
      </c>
      <c r="C23" s="509"/>
      <c r="D23" s="297">
        <v>5.05</v>
      </c>
      <c r="E23" s="292">
        <v>5.05</v>
      </c>
      <c r="F23" s="299"/>
      <c r="G23" s="294"/>
      <c r="H23" s="250"/>
    </row>
    <row r="24" spans="1:14" ht="15" thickBot="1" x14ac:dyDescent="0.4">
      <c r="A24" s="508"/>
      <c r="B24" s="305" t="s">
        <v>135</v>
      </c>
      <c r="C24" s="509"/>
      <c r="D24" s="306"/>
      <c r="E24" s="307"/>
      <c r="F24" s="308">
        <v>0.35680000000000001</v>
      </c>
      <c r="G24" s="309"/>
      <c r="H24" s="250"/>
    </row>
    <row r="25" spans="1:14" x14ac:dyDescent="0.35">
      <c r="A25" s="310" t="s">
        <v>27</v>
      </c>
      <c r="B25" s="311" t="s">
        <v>53</v>
      </c>
      <c r="C25" s="312"/>
      <c r="D25" s="313">
        <f>((D28/D29)-(D26/D27))*D27</f>
        <v>28372.29415577395</v>
      </c>
      <c r="E25" s="313">
        <f>((E28/E29)-(E26/E27))*E27</f>
        <v>8945.236256597098</v>
      </c>
      <c r="F25" s="313">
        <f>((F28/F29)-(F26/F27))*F27</f>
        <v>5667.664786672126</v>
      </c>
      <c r="G25" s="314" t="e">
        <f>((G28/G29)-(G26/G27))*G27</f>
        <v>#DIV/0!</v>
      </c>
      <c r="H25" s="315">
        <f>SUM(D25:F25)</f>
        <v>42985.195199043177</v>
      </c>
      <c r="I25" s="272" t="e">
        <f>#REF!+#REF!+#REF!+jūlijs!H25</f>
        <v>#REF!</v>
      </c>
    </row>
    <row r="26" spans="1:14" ht="56.5" x14ac:dyDescent="0.35">
      <c r="A26" s="494" t="s">
        <v>139</v>
      </c>
      <c r="B26" s="316" t="s">
        <v>36</v>
      </c>
      <c r="C26" s="317" t="s">
        <v>30</v>
      </c>
      <c r="D26" s="318">
        <v>121651.68</v>
      </c>
      <c r="E26" s="319">
        <v>49288.09</v>
      </c>
      <c r="F26" s="318">
        <v>44436.06</v>
      </c>
      <c r="G26" s="320"/>
      <c r="H26" s="315">
        <f>SUM(D26:G26)</f>
        <v>215375.83</v>
      </c>
      <c r="J26" s="272"/>
      <c r="L26" s="273"/>
      <c r="M26" s="273"/>
      <c r="N26" s="273"/>
    </row>
    <row r="27" spans="1:14" x14ac:dyDescent="0.35">
      <c r="A27" s="495"/>
      <c r="B27" s="316" t="s">
        <v>52</v>
      </c>
      <c r="C27" s="317" t="s">
        <v>7</v>
      </c>
      <c r="D27" s="318">
        <f>D10</f>
        <v>194634.06</v>
      </c>
      <c r="E27" s="318">
        <f t="shared" ref="E27:G27" si="3">E10</f>
        <v>87238.84</v>
      </c>
      <c r="F27" s="318">
        <f t="shared" si="3"/>
        <v>58103.55</v>
      </c>
      <c r="G27" s="320">
        <f t="shared" si="3"/>
        <v>0</v>
      </c>
      <c r="H27" s="315">
        <f>SUM(D27:G27)</f>
        <v>339976.45</v>
      </c>
      <c r="J27" s="272"/>
      <c r="M27" s="273"/>
      <c r="N27" s="273"/>
    </row>
    <row r="28" spans="1:14" ht="56.5" x14ac:dyDescent="0.35">
      <c r="A28" s="494" t="s">
        <v>139</v>
      </c>
      <c r="B28" s="316" t="s">
        <v>37</v>
      </c>
      <c r="C28" s="317" t="s">
        <v>30</v>
      </c>
      <c r="D28" s="318">
        <v>179643.54</v>
      </c>
      <c r="E28" s="318">
        <v>58744.47</v>
      </c>
      <c r="F28" s="318">
        <v>52306.3</v>
      </c>
      <c r="G28" s="320"/>
      <c r="H28" s="315">
        <f t="shared" ref="H28:H29" si="4">SUM(D28:G28)</f>
        <v>290694.31</v>
      </c>
      <c r="J28" s="272"/>
      <c r="M28" s="273"/>
      <c r="N28" s="273"/>
    </row>
    <row r="29" spans="1:14" ht="15" thickBot="1" x14ac:dyDescent="0.4">
      <c r="A29" s="495"/>
      <c r="B29" s="321" t="s">
        <v>38</v>
      </c>
      <c r="C29" s="322" t="s">
        <v>7</v>
      </c>
      <c r="D29" s="323">
        <v>233061.09400000001</v>
      </c>
      <c r="E29" s="323">
        <v>88004.58</v>
      </c>
      <c r="F29" s="323">
        <v>60657.8</v>
      </c>
      <c r="G29" s="324"/>
      <c r="H29" s="315">
        <f t="shared" si="4"/>
        <v>381723.47399999999</v>
      </c>
      <c r="J29" s="272"/>
      <c r="M29" s="273"/>
      <c r="N29" s="273"/>
    </row>
    <row r="30" spans="1:14" x14ac:dyDescent="0.35">
      <c r="A30" s="250"/>
      <c r="B30" s="250"/>
      <c r="C30" s="250"/>
      <c r="D30" s="250"/>
      <c r="E30" s="250"/>
      <c r="F30" s="250"/>
      <c r="G30" s="250"/>
    </row>
    <row r="31" spans="1:14" x14ac:dyDescent="0.35">
      <c r="A31" s="250"/>
      <c r="B31" s="250"/>
      <c r="C31" s="250"/>
      <c r="D31" s="250"/>
      <c r="E31" s="250"/>
      <c r="F31" s="250"/>
      <c r="G31" s="250"/>
    </row>
    <row r="32" spans="1:14" ht="15" thickBot="1" x14ac:dyDescent="0.4">
      <c r="A32" s="250"/>
      <c r="B32" s="325" t="s">
        <v>88</v>
      </c>
      <c r="C32" s="326"/>
      <c r="D32" s="326"/>
      <c r="E32" s="326"/>
      <c r="F32" s="326"/>
      <c r="G32" s="326"/>
    </row>
    <row r="33" spans="1:7" ht="15" thickTop="1" x14ac:dyDescent="0.35">
      <c r="A33" s="250"/>
      <c r="B33" s="250"/>
      <c r="C33" s="250"/>
      <c r="D33" s="250"/>
      <c r="E33" s="250"/>
      <c r="F33" s="250"/>
      <c r="G33" s="250"/>
    </row>
    <row r="34" spans="1:7" x14ac:dyDescent="0.35">
      <c r="A34" s="250"/>
      <c r="B34" s="250"/>
      <c r="C34" s="250"/>
      <c r="D34" s="250"/>
      <c r="E34" s="250"/>
      <c r="F34" s="250"/>
      <c r="G34" s="250"/>
    </row>
    <row r="35" spans="1:7" x14ac:dyDescent="0.35">
      <c r="A35" s="250" t="s">
        <v>9</v>
      </c>
      <c r="B35" s="250"/>
      <c r="C35" s="250"/>
      <c r="D35" s="250"/>
      <c r="E35" s="250"/>
      <c r="F35" s="250"/>
      <c r="G35" s="250"/>
    </row>
    <row r="36" spans="1:7" x14ac:dyDescent="0.35">
      <c r="A36" s="492" t="s">
        <v>24</v>
      </c>
      <c r="B36" s="492"/>
      <c r="C36" s="492"/>
      <c r="D36" s="492"/>
      <c r="E36" s="492"/>
      <c r="F36" s="492"/>
      <c r="G36" s="492"/>
    </row>
    <row r="37" spans="1:7" x14ac:dyDescent="0.35">
      <c r="A37" s="327" t="s">
        <v>23</v>
      </c>
      <c r="B37" s="327"/>
      <c r="C37" s="327"/>
      <c r="D37" s="327"/>
      <c r="E37" s="327"/>
      <c r="F37" s="327"/>
      <c r="G37" s="327"/>
    </row>
    <row r="38" spans="1:7" x14ac:dyDescent="0.35">
      <c r="A38" s="496" t="s">
        <v>16</v>
      </c>
      <c r="B38" s="496"/>
      <c r="C38" s="496"/>
      <c r="D38" s="496"/>
      <c r="E38" s="496"/>
      <c r="F38" s="496"/>
      <c r="G38" s="496"/>
    </row>
    <row r="39" spans="1:7" x14ac:dyDescent="0.35">
      <c r="A39" s="492" t="s">
        <v>18</v>
      </c>
      <c r="B39" s="492"/>
      <c r="C39" s="492"/>
      <c r="D39" s="492"/>
      <c r="E39" s="492"/>
      <c r="F39" s="492"/>
      <c r="G39" s="492"/>
    </row>
    <row r="40" spans="1:7" ht="31.5" customHeight="1" x14ac:dyDescent="0.35">
      <c r="A40" s="492" t="s">
        <v>31</v>
      </c>
      <c r="B40" s="492"/>
      <c r="C40" s="492"/>
      <c r="D40" s="492"/>
      <c r="E40" s="492"/>
      <c r="F40" s="492"/>
      <c r="G40" s="492"/>
    </row>
    <row r="41" spans="1:7" x14ac:dyDescent="0.35">
      <c r="A41" s="327"/>
      <c r="B41" s="327"/>
      <c r="C41" s="327"/>
      <c r="D41" s="327"/>
      <c r="E41" s="327"/>
      <c r="F41" s="327"/>
      <c r="G41" s="327"/>
    </row>
    <row r="42" spans="1:7" x14ac:dyDescent="0.35">
      <c r="A42" s="328" t="s">
        <v>17</v>
      </c>
      <c r="B42" s="327"/>
      <c r="C42" s="327"/>
      <c r="D42" s="327"/>
      <c r="E42" s="327"/>
      <c r="F42" s="327"/>
      <c r="G42" s="327"/>
    </row>
    <row r="43" spans="1:7" x14ac:dyDescent="0.35">
      <c r="A43" s="492" t="s">
        <v>32</v>
      </c>
      <c r="B43" s="492"/>
      <c r="C43" s="492"/>
      <c r="D43" s="492"/>
      <c r="E43" s="492"/>
      <c r="F43" s="492"/>
      <c r="G43" s="492"/>
    </row>
    <row r="44" spans="1:7" x14ac:dyDescent="0.35">
      <c r="A44" s="492" t="s">
        <v>19</v>
      </c>
      <c r="B44" s="492"/>
      <c r="C44" s="492"/>
      <c r="D44" s="492"/>
      <c r="E44" s="492"/>
      <c r="F44" s="492"/>
      <c r="G44" s="492"/>
    </row>
    <row r="45" spans="1:7" x14ac:dyDescent="0.35">
      <c r="A45" s="492" t="s">
        <v>21</v>
      </c>
      <c r="B45" s="492"/>
      <c r="C45" s="492"/>
      <c r="D45" s="492"/>
      <c r="E45" s="492"/>
      <c r="F45" s="492"/>
      <c r="G45" s="492"/>
    </row>
    <row r="46" spans="1:7" x14ac:dyDescent="0.35">
      <c r="A46" s="492" t="s">
        <v>33</v>
      </c>
      <c r="B46" s="492"/>
      <c r="C46" s="492"/>
      <c r="D46" s="492"/>
      <c r="E46" s="492"/>
      <c r="F46" s="492"/>
      <c r="G46" s="492"/>
    </row>
    <row r="47" spans="1:7" x14ac:dyDescent="0.35">
      <c r="A47" s="492" t="s">
        <v>20</v>
      </c>
      <c r="B47" s="492"/>
      <c r="C47" s="492"/>
      <c r="D47" s="492"/>
      <c r="E47" s="492"/>
      <c r="F47" s="492"/>
      <c r="G47" s="492"/>
    </row>
    <row r="48" spans="1:7" x14ac:dyDescent="0.35">
      <c r="A48" s="493" t="s">
        <v>22</v>
      </c>
      <c r="B48" s="493"/>
      <c r="C48" s="493"/>
      <c r="D48" s="493"/>
      <c r="E48" s="493"/>
      <c r="F48" s="493"/>
      <c r="G48" s="493"/>
    </row>
    <row r="49" spans="1:7" x14ac:dyDescent="0.35">
      <c r="A49" s="492" t="s">
        <v>34</v>
      </c>
      <c r="B49" s="492"/>
      <c r="C49" s="492"/>
      <c r="D49" s="492"/>
      <c r="E49" s="492"/>
      <c r="F49" s="492"/>
      <c r="G49" s="492"/>
    </row>
    <row r="50" spans="1:7" ht="45.75" customHeight="1" x14ac:dyDescent="0.35">
      <c r="A50" s="492" t="s">
        <v>35</v>
      </c>
      <c r="B50" s="492"/>
      <c r="C50" s="492"/>
      <c r="D50" s="492"/>
      <c r="E50" s="492"/>
      <c r="F50" s="492"/>
      <c r="G50" s="492"/>
    </row>
  </sheetData>
  <mergeCells count="20">
    <mergeCell ref="A40:G40"/>
    <mergeCell ref="A1:G1"/>
    <mergeCell ref="A4:A12"/>
    <mergeCell ref="C4:C8"/>
    <mergeCell ref="C9:C12"/>
    <mergeCell ref="A15:A24"/>
    <mergeCell ref="C20:C24"/>
    <mergeCell ref="A26:A27"/>
    <mergeCell ref="A28:A29"/>
    <mergeCell ref="A36:G36"/>
    <mergeCell ref="A38:G38"/>
    <mergeCell ref="A39:G39"/>
    <mergeCell ref="A49:G49"/>
    <mergeCell ref="A50:G50"/>
    <mergeCell ref="A43:G43"/>
    <mergeCell ref="A44:G44"/>
    <mergeCell ref="A45:G45"/>
    <mergeCell ref="A46:G46"/>
    <mergeCell ref="A47:G47"/>
    <mergeCell ref="A48:G48"/>
  </mergeCells>
  <pageMargins left="0.7" right="0.7" top="0.75" bottom="0.75" header="0.3" footer="0.3"/>
  <pageSetup paperSize="9"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C0734-1734-4420-8E5C-D152C171FAFA}">
  <sheetPr>
    <tabColor theme="4" tint="0.59999389629810485"/>
    <pageSetUpPr fitToPage="1"/>
  </sheetPr>
  <dimension ref="A1:J50"/>
  <sheetViews>
    <sheetView zoomScale="85" zoomScaleNormal="85" workbookViewId="0">
      <selection activeCell="K4" sqref="K4"/>
    </sheetView>
  </sheetViews>
  <sheetFormatPr defaultColWidth="9.1796875" defaultRowHeight="14.5" x14ac:dyDescent="0.35"/>
  <cols>
    <col min="1" max="1" width="22.1796875" style="251" bestFit="1" customWidth="1"/>
    <col min="2" max="2" width="50.453125" style="251" customWidth="1"/>
    <col min="3" max="3" width="11.81640625" style="251" bestFit="1" customWidth="1"/>
    <col min="4" max="4" width="12" style="251" bestFit="1" customWidth="1"/>
    <col min="5" max="5" width="13.7265625" style="251" customWidth="1"/>
    <col min="6" max="6" width="10.81640625" style="251" bestFit="1" customWidth="1"/>
    <col min="7" max="8" width="10.26953125" style="251" customWidth="1"/>
    <col min="9" max="9" width="10.26953125" style="251" bestFit="1" customWidth="1"/>
    <col min="10" max="16384" width="9.1796875" style="251"/>
  </cols>
  <sheetData>
    <row r="1" spans="1:10" ht="41.25" customHeight="1" x14ac:dyDescent="0.35">
      <c r="A1" s="497" t="s">
        <v>68</v>
      </c>
      <c r="B1" s="497"/>
      <c r="C1" s="497"/>
      <c r="D1" s="497"/>
      <c r="E1" s="497"/>
      <c r="F1" s="497"/>
      <c r="G1" s="497"/>
    </row>
    <row r="2" spans="1:10" ht="28.5" thickBot="1" x14ac:dyDescent="0.4">
      <c r="A2" s="252" t="s">
        <v>3</v>
      </c>
      <c r="B2" s="253"/>
      <c r="C2" s="254" t="s">
        <v>4</v>
      </c>
      <c r="D2" s="254" t="s">
        <v>0</v>
      </c>
      <c r="E2" s="255" t="s">
        <v>10</v>
      </c>
      <c r="F2" s="254" t="s">
        <v>1</v>
      </c>
      <c r="G2" s="254" t="s">
        <v>2</v>
      </c>
    </row>
    <row r="3" spans="1:10" ht="15" thickBot="1" x14ac:dyDescent="0.4">
      <c r="A3" s="256" t="s">
        <v>14</v>
      </c>
      <c r="B3" s="257" t="s">
        <v>51</v>
      </c>
      <c r="C3" s="258"/>
      <c r="D3" s="259">
        <f>(D10-D9)*D13</f>
        <v>0</v>
      </c>
      <c r="E3" s="259">
        <f>(E10-E9)*E13</f>
        <v>0</v>
      </c>
      <c r="F3" s="259">
        <f>(F10-F9)*F13</f>
        <v>0</v>
      </c>
      <c r="G3" s="260">
        <f>(G10-G9)*G13</f>
        <v>0</v>
      </c>
    </row>
    <row r="4" spans="1:10" x14ac:dyDescent="0.35">
      <c r="A4" s="498" t="s">
        <v>142</v>
      </c>
      <c r="B4" s="261" t="s">
        <v>11</v>
      </c>
      <c r="C4" s="501" t="s">
        <v>5</v>
      </c>
      <c r="D4" s="262">
        <v>43</v>
      </c>
      <c r="E4" s="263">
        <v>13</v>
      </c>
      <c r="F4" s="262">
        <v>20</v>
      </c>
      <c r="G4" s="264"/>
    </row>
    <row r="5" spans="1:10" x14ac:dyDescent="0.35">
      <c r="A5" s="499"/>
      <c r="B5" s="265" t="s">
        <v>48</v>
      </c>
      <c r="C5" s="502"/>
      <c r="D5" s="266">
        <v>13439</v>
      </c>
      <c r="E5" s="266">
        <v>9002</v>
      </c>
      <c r="F5" s="267">
        <v>8160</v>
      </c>
      <c r="G5" s="268"/>
    </row>
    <row r="6" spans="1:10" x14ac:dyDescent="0.35">
      <c r="A6" s="499"/>
      <c r="B6" s="265" t="s">
        <v>49</v>
      </c>
      <c r="C6" s="502"/>
      <c r="D6" s="266">
        <f>D5+D7-D8</f>
        <v>13439</v>
      </c>
      <c r="E6" s="266">
        <f t="shared" ref="E6:G6" si="0">E5+E7-E8</f>
        <v>9002</v>
      </c>
      <c r="F6" s="266">
        <f t="shared" si="0"/>
        <v>8160</v>
      </c>
      <c r="G6" s="268">
        <f t="shared" si="0"/>
        <v>0</v>
      </c>
    </row>
    <row r="7" spans="1:10" x14ac:dyDescent="0.35">
      <c r="A7" s="499"/>
      <c r="B7" s="269" t="s">
        <v>44</v>
      </c>
      <c r="C7" s="502"/>
      <c r="D7" s="266">
        <v>0</v>
      </c>
      <c r="E7" s="266">
        <v>0</v>
      </c>
      <c r="F7" s="266">
        <v>0</v>
      </c>
      <c r="G7" s="268"/>
    </row>
    <row r="8" spans="1:10" x14ac:dyDescent="0.35">
      <c r="A8" s="499"/>
      <c r="B8" s="269" t="s">
        <v>45</v>
      </c>
      <c r="C8" s="503"/>
      <c r="D8" s="266">
        <v>0</v>
      </c>
      <c r="E8" s="266">
        <v>0</v>
      </c>
      <c r="F8" s="266">
        <v>0</v>
      </c>
      <c r="G8" s="268"/>
    </row>
    <row r="9" spans="1:10" x14ac:dyDescent="0.35">
      <c r="A9" s="499"/>
      <c r="B9" s="265" t="s">
        <v>42</v>
      </c>
      <c r="C9" s="504" t="s">
        <v>7</v>
      </c>
      <c r="D9" s="270">
        <v>194634.06</v>
      </c>
      <c r="E9" s="266">
        <v>86968.74</v>
      </c>
      <c r="F9" s="266">
        <v>58103.56</v>
      </c>
      <c r="G9" s="268"/>
    </row>
    <row r="10" spans="1:10" x14ac:dyDescent="0.35">
      <c r="A10" s="499"/>
      <c r="B10" s="265" t="s">
        <v>50</v>
      </c>
      <c r="C10" s="505"/>
      <c r="D10" s="266">
        <f t="shared" ref="D10:G10" si="1">D9+D11-D12</f>
        <v>194634.06</v>
      </c>
      <c r="E10" s="266">
        <f t="shared" si="1"/>
        <v>86968.74</v>
      </c>
      <c r="F10" s="266">
        <f t="shared" si="1"/>
        <v>58103.56</v>
      </c>
      <c r="G10" s="268">
        <f t="shared" si="1"/>
        <v>0</v>
      </c>
      <c r="H10" s="271"/>
      <c r="I10" s="272"/>
      <c r="J10" s="273"/>
    </row>
    <row r="11" spans="1:10" x14ac:dyDescent="0.35">
      <c r="A11" s="499"/>
      <c r="B11" s="274" t="s">
        <v>46</v>
      </c>
      <c r="C11" s="505"/>
      <c r="D11" s="266">
        <v>0</v>
      </c>
      <c r="E11" s="266">
        <v>0</v>
      </c>
      <c r="F11" s="266">
        <v>0</v>
      </c>
      <c r="G11" s="268"/>
    </row>
    <row r="12" spans="1:10" x14ac:dyDescent="0.35">
      <c r="A12" s="500"/>
      <c r="B12" s="274" t="s">
        <v>47</v>
      </c>
      <c r="C12" s="506"/>
      <c r="D12" s="266">
        <v>0</v>
      </c>
      <c r="E12" s="266">
        <v>0</v>
      </c>
      <c r="F12" s="266">
        <v>0</v>
      </c>
      <c r="G12" s="268"/>
    </row>
    <row r="13" spans="1:10" ht="15" thickBot="1" x14ac:dyDescent="0.4">
      <c r="A13" s="275" t="s">
        <v>142</v>
      </c>
      <c r="B13" s="276" t="s">
        <v>43</v>
      </c>
      <c r="C13" s="277" t="s">
        <v>8</v>
      </c>
      <c r="D13" s="278">
        <v>1.6352</v>
      </c>
      <c r="E13" s="278">
        <v>0.83960000000000001</v>
      </c>
      <c r="F13" s="278">
        <v>3.0952999999999999</v>
      </c>
      <c r="G13" s="279"/>
      <c r="I13" s="272"/>
      <c r="J13" s="329"/>
    </row>
    <row r="14" spans="1:10" ht="29" thickBot="1" x14ac:dyDescent="0.4">
      <c r="A14" s="280" t="s">
        <v>15</v>
      </c>
      <c r="B14" s="281" t="s">
        <v>41</v>
      </c>
      <c r="C14" s="282"/>
      <c r="D14" s="283">
        <f>SUM(D16*D21,D17*D22,D18*D23,D19*D24)</f>
        <v>12.124512000000001</v>
      </c>
      <c r="E14" s="283">
        <f t="shared" ref="E14" si="2">SUM(E16*E21,E17*E22,E18*E23,E19*E24)</f>
        <v>5.4080527999999992</v>
      </c>
      <c r="F14" s="283">
        <f>SUM(F16*F21,F17*F22,F18*F23,F19*F24)</f>
        <v>14.31</v>
      </c>
      <c r="G14" s="284" t="e">
        <f>SUM(#REF!*#REF!,#REF!*#REF!,#REF!*#REF!,#REF!*#REF!,#REF!*#REF!,#REF!*#REF!)</f>
        <v>#REF!</v>
      </c>
    </row>
    <row r="15" spans="1:10" ht="30" customHeight="1" x14ac:dyDescent="0.35">
      <c r="A15" s="507" t="s">
        <v>142</v>
      </c>
      <c r="B15" s="285" t="s">
        <v>39</v>
      </c>
      <c r="C15" s="286"/>
      <c r="D15" s="287"/>
      <c r="E15" s="287"/>
      <c r="F15" s="288"/>
      <c r="G15" s="289"/>
    </row>
    <row r="16" spans="1:10" x14ac:dyDescent="0.35">
      <c r="A16" s="508"/>
      <c r="B16" s="290" t="s">
        <v>71</v>
      </c>
      <c r="C16" s="291" t="s">
        <v>25</v>
      </c>
      <c r="D16" s="292"/>
      <c r="E16" s="292"/>
      <c r="F16" s="293">
        <v>5</v>
      </c>
      <c r="G16" s="294"/>
    </row>
    <row r="17" spans="1:10" x14ac:dyDescent="0.35">
      <c r="A17" s="508"/>
      <c r="B17" s="295" t="s">
        <v>141</v>
      </c>
      <c r="C17" s="296" t="s">
        <v>59</v>
      </c>
      <c r="D17" s="297">
        <v>0.79200000000000004</v>
      </c>
      <c r="E17" s="292">
        <v>0.3488</v>
      </c>
      <c r="F17" s="293"/>
      <c r="G17" s="298"/>
    </row>
    <row r="18" spans="1:10" x14ac:dyDescent="0.35">
      <c r="A18" s="508"/>
      <c r="B18" s="295" t="s">
        <v>143</v>
      </c>
      <c r="C18" s="296" t="s">
        <v>59</v>
      </c>
      <c r="D18" s="293">
        <v>60</v>
      </c>
      <c r="E18" s="293">
        <v>27</v>
      </c>
      <c r="F18" s="293"/>
      <c r="G18" s="298"/>
    </row>
    <row r="19" spans="1:10" ht="15" thickBot="1" x14ac:dyDescent="0.4">
      <c r="A19" s="508"/>
      <c r="B19" s="300" t="s">
        <v>144</v>
      </c>
      <c r="C19" s="301" t="s">
        <v>59</v>
      </c>
      <c r="D19" s="330">
        <v>56</v>
      </c>
      <c r="E19" s="330">
        <v>25</v>
      </c>
      <c r="F19" s="302"/>
      <c r="G19" s="303"/>
    </row>
    <row r="20" spans="1:10" ht="28.5" x14ac:dyDescent="0.35">
      <c r="A20" s="508"/>
      <c r="B20" s="304" t="s">
        <v>40</v>
      </c>
      <c r="C20" s="509" t="s">
        <v>26</v>
      </c>
      <c r="D20" s="297"/>
      <c r="E20" s="292"/>
      <c r="F20" s="299"/>
      <c r="G20" s="294"/>
    </row>
    <row r="21" spans="1:10" x14ac:dyDescent="0.35">
      <c r="A21" s="508"/>
      <c r="B21" s="290" t="s">
        <v>71</v>
      </c>
      <c r="C21" s="509"/>
      <c r="D21" s="297"/>
      <c r="E21" s="292"/>
      <c r="F21" s="299">
        <v>2.8620000000000001</v>
      </c>
      <c r="G21" s="294"/>
    </row>
    <row r="22" spans="1:10" x14ac:dyDescent="0.35">
      <c r="A22" s="508"/>
      <c r="B22" s="295" t="s">
        <v>141</v>
      </c>
      <c r="C22" s="509"/>
      <c r="D22" s="297">
        <v>5.3559999999999999</v>
      </c>
      <c r="E22" s="297">
        <v>5.3559999999999999</v>
      </c>
      <c r="F22" s="299"/>
      <c r="G22" s="294"/>
    </row>
    <row r="23" spans="1:10" x14ac:dyDescent="0.35">
      <c r="A23" s="508"/>
      <c r="B23" s="295" t="s">
        <v>143</v>
      </c>
      <c r="C23" s="509"/>
      <c r="D23" s="297">
        <v>9.7439999999999999E-2</v>
      </c>
      <c r="E23" s="297">
        <v>9.7439999999999999E-2</v>
      </c>
      <c r="F23" s="299"/>
      <c r="G23" s="294"/>
    </row>
    <row r="24" spans="1:10" ht="15" thickBot="1" x14ac:dyDescent="0.4">
      <c r="A24" s="508"/>
      <c r="B24" s="305" t="s">
        <v>144</v>
      </c>
      <c r="C24" s="509"/>
      <c r="D24" s="306">
        <v>3.6360000000000003E-2</v>
      </c>
      <c r="E24" s="306">
        <v>3.6360000000000003E-2</v>
      </c>
      <c r="F24" s="308"/>
      <c r="G24" s="309"/>
    </row>
    <row r="25" spans="1:10" x14ac:dyDescent="0.35">
      <c r="A25" s="310" t="s">
        <v>27</v>
      </c>
      <c r="B25" s="311" t="s">
        <v>53</v>
      </c>
      <c r="C25" s="312"/>
      <c r="D25" s="313">
        <f>((D28/D29)-(D26/D27))*D27</f>
        <v>22330.947460497817</v>
      </c>
      <c r="E25" s="313">
        <f>((E28/E29)-(E26/E27))*E27</f>
        <v>7355.2370839336481</v>
      </c>
      <c r="F25" s="313">
        <f>((F28/F29)-(F26/F27))*F27</f>
        <v>4495.7409316475778</v>
      </c>
      <c r="G25" s="314" t="e">
        <f>((G28/G29)-(G26/G27))*G27</f>
        <v>#DIV/0!</v>
      </c>
      <c r="H25" s="272"/>
    </row>
    <row r="26" spans="1:10" ht="56.5" x14ac:dyDescent="0.35">
      <c r="A26" s="494" t="s">
        <v>142</v>
      </c>
      <c r="B26" s="316" t="s">
        <v>36</v>
      </c>
      <c r="C26" s="317" t="s">
        <v>30</v>
      </c>
      <c r="D26" s="318">
        <v>125253.16207462347</v>
      </c>
      <c r="E26" s="319">
        <v>50596.65346586697</v>
      </c>
      <c r="F26" s="318">
        <v>44739.134459509572</v>
      </c>
      <c r="G26" s="320"/>
      <c r="H26" s="273"/>
      <c r="J26" s="273"/>
    </row>
    <row r="27" spans="1:10" x14ac:dyDescent="0.35">
      <c r="A27" s="495"/>
      <c r="B27" s="316" t="s">
        <v>52</v>
      </c>
      <c r="C27" s="317" t="s">
        <v>7</v>
      </c>
      <c r="D27" s="318">
        <f>D10</f>
        <v>194634.06</v>
      </c>
      <c r="E27" s="318">
        <f>E10</f>
        <v>86968.74</v>
      </c>
      <c r="F27" s="318">
        <f>F10</f>
        <v>58103.56</v>
      </c>
      <c r="G27" s="320">
        <f t="shared" ref="G27" si="3">G10</f>
        <v>0</v>
      </c>
      <c r="H27" s="273"/>
      <c r="J27" s="273"/>
    </row>
    <row r="28" spans="1:10" ht="56.5" x14ac:dyDescent="0.35">
      <c r="A28" s="494" t="s">
        <v>145</v>
      </c>
      <c r="B28" s="316" t="s">
        <v>37</v>
      </c>
      <c r="C28" s="317" t="s">
        <v>30</v>
      </c>
      <c r="D28" s="318">
        <v>174800.65022066166</v>
      </c>
      <c r="E28" s="318">
        <v>58158.773200497832</v>
      </c>
      <c r="F28" s="318">
        <v>51142.156578840528</v>
      </c>
      <c r="G28" s="320"/>
      <c r="H28" s="273"/>
      <c r="J28" s="273"/>
    </row>
    <row r="29" spans="1:10" ht="15" thickBot="1" x14ac:dyDescent="0.4">
      <c r="A29" s="495"/>
      <c r="B29" s="321" t="s">
        <v>38</v>
      </c>
      <c r="C29" s="322" t="s">
        <v>7</v>
      </c>
      <c r="D29" s="323">
        <v>230527.25899999999</v>
      </c>
      <c r="E29" s="323">
        <v>87279.21</v>
      </c>
      <c r="F29" s="323">
        <v>60354.400000000001</v>
      </c>
      <c r="G29" s="324"/>
      <c r="H29" s="273"/>
      <c r="J29" s="273"/>
    </row>
    <row r="30" spans="1:10" x14ac:dyDescent="0.35">
      <c r="A30" s="250"/>
      <c r="B30" s="250"/>
      <c r="C30" s="250"/>
      <c r="D30" s="250"/>
      <c r="E30" s="250"/>
      <c r="F30" s="250"/>
      <c r="G30" s="250"/>
    </row>
    <row r="31" spans="1:10" x14ac:dyDescent="0.35">
      <c r="A31" s="250"/>
      <c r="B31" s="250"/>
      <c r="C31" s="250"/>
      <c r="D31" s="250"/>
      <c r="E31" s="250"/>
      <c r="F31" s="250"/>
      <c r="G31" s="250"/>
    </row>
    <row r="32" spans="1:10" ht="15" thickBot="1" x14ac:dyDescent="0.4">
      <c r="A32" s="250"/>
      <c r="B32" s="325" t="s">
        <v>88</v>
      </c>
      <c r="C32" s="326"/>
      <c r="D32" s="326"/>
      <c r="E32" s="326"/>
      <c r="F32" s="326"/>
      <c r="G32" s="326"/>
    </row>
    <row r="33" spans="1:7" ht="15" thickTop="1" x14ac:dyDescent="0.35">
      <c r="A33" s="250"/>
      <c r="B33" s="250"/>
      <c r="C33" s="250"/>
      <c r="D33" s="250"/>
      <c r="E33" s="250"/>
      <c r="F33" s="250"/>
      <c r="G33" s="250"/>
    </row>
    <row r="34" spans="1:7" x14ac:dyDescent="0.35">
      <c r="A34" s="250"/>
      <c r="B34" s="250"/>
      <c r="C34" s="250"/>
      <c r="D34" s="250"/>
      <c r="E34" s="250"/>
      <c r="F34" s="250"/>
      <c r="G34" s="250"/>
    </row>
    <row r="35" spans="1:7" x14ac:dyDescent="0.35">
      <c r="A35" s="250" t="s">
        <v>9</v>
      </c>
      <c r="B35" s="250"/>
      <c r="C35" s="250"/>
      <c r="D35" s="250"/>
      <c r="E35" s="250"/>
      <c r="F35" s="250"/>
      <c r="G35" s="250"/>
    </row>
    <row r="36" spans="1:7" x14ac:dyDescent="0.35">
      <c r="A36" s="492" t="s">
        <v>24</v>
      </c>
      <c r="B36" s="492"/>
      <c r="C36" s="492"/>
      <c r="D36" s="492"/>
      <c r="E36" s="492"/>
      <c r="F36" s="492"/>
      <c r="G36" s="492"/>
    </row>
    <row r="37" spans="1:7" x14ac:dyDescent="0.35">
      <c r="A37" s="327" t="s">
        <v>23</v>
      </c>
      <c r="B37" s="327"/>
      <c r="C37" s="327"/>
      <c r="D37" s="327"/>
      <c r="E37" s="327"/>
      <c r="F37" s="327"/>
      <c r="G37" s="327"/>
    </row>
    <row r="38" spans="1:7" x14ac:dyDescent="0.35">
      <c r="A38" s="496" t="s">
        <v>16</v>
      </c>
      <c r="B38" s="496"/>
      <c r="C38" s="496"/>
      <c r="D38" s="496"/>
      <c r="E38" s="496"/>
      <c r="F38" s="496"/>
      <c r="G38" s="496"/>
    </row>
    <row r="39" spans="1:7" x14ac:dyDescent="0.35">
      <c r="A39" s="492" t="s">
        <v>18</v>
      </c>
      <c r="B39" s="492"/>
      <c r="C39" s="492"/>
      <c r="D39" s="492"/>
      <c r="E39" s="492"/>
      <c r="F39" s="492"/>
      <c r="G39" s="492"/>
    </row>
    <row r="40" spans="1:7" ht="31.5" customHeight="1" x14ac:dyDescent="0.35">
      <c r="A40" s="492" t="s">
        <v>31</v>
      </c>
      <c r="B40" s="492"/>
      <c r="C40" s="492"/>
      <c r="D40" s="492"/>
      <c r="E40" s="492"/>
      <c r="F40" s="492"/>
      <c r="G40" s="492"/>
    </row>
    <row r="41" spans="1:7" x14ac:dyDescent="0.35">
      <c r="A41" s="327"/>
      <c r="B41" s="327"/>
      <c r="C41" s="327"/>
      <c r="D41" s="327"/>
      <c r="E41" s="327"/>
      <c r="F41" s="327"/>
      <c r="G41" s="327"/>
    </row>
    <row r="42" spans="1:7" x14ac:dyDescent="0.35">
      <c r="A42" s="328" t="s">
        <v>17</v>
      </c>
      <c r="B42" s="327"/>
      <c r="C42" s="327"/>
      <c r="D42" s="327"/>
      <c r="E42" s="327"/>
      <c r="F42" s="327"/>
      <c r="G42" s="327"/>
    </row>
    <row r="43" spans="1:7" x14ac:dyDescent="0.35">
      <c r="A43" s="492" t="s">
        <v>32</v>
      </c>
      <c r="B43" s="492"/>
      <c r="C43" s="492"/>
      <c r="D43" s="492"/>
      <c r="E43" s="492"/>
      <c r="F43" s="492"/>
      <c r="G43" s="492"/>
    </row>
    <row r="44" spans="1:7" x14ac:dyDescent="0.35">
      <c r="A44" s="492" t="s">
        <v>19</v>
      </c>
      <c r="B44" s="492"/>
      <c r="C44" s="492"/>
      <c r="D44" s="492"/>
      <c r="E44" s="492"/>
      <c r="F44" s="492"/>
      <c r="G44" s="492"/>
    </row>
    <row r="45" spans="1:7" x14ac:dyDescent="0.35">
      <c r="A45" s="492" t="s">
        <v>21</v>
      </c>
      <c r="B45" s="492"/>
      <c r="C45" s="492"/>
      <c r="D45" s="492"/>
      <c r="E45" s="492"/>
      <c r="F45" s="492"/>
      <c r="G45" s="492"/>
    </row>
    <row r="46" spans="1:7" x14ac:dyDescent="0.35">
      <c r="A46" s="492" t="s">
        <v>33</v>
      </c>
      <c r="B46" s="492"/>
      <c r="C46" s="492"/>
      <c r="D46" s="492"/>
      <c r="E46" s="492"/>
      <c r="F46" s="492"/>
      <c r="G46" s="492"/>
    </row>
    <row r="47" spans="1:7" x14ac:dyDescent="0.35">
      <c r="A47" s="492" t="s">
        <v>20</v>
      </c>
      <c r="B47" s="492"/>
      <c r="C47" s="492"/>
      <c r="D47" s="492"/>
      <c r="E47" s="492"/>
      <c r="F47" s="492"/>
      <c r="G47" s="492"/>
    </row>
    <row r="48" spans="1:7" x14ac:dyDescent="0.35">
      <c r="A48" s="493" t="s">
        <v>22</v>
      </c>
      <c r="B48" s="493"/>
      <c r="C48" s="493"/>
      <c r="D48" s="493"/>
      <c r="E48" s="493"/>
      <c r="F48" s="493"/>
      <c r="G48" s="493"/>
    </row>
    <row r="49" spans="1:7" x14ac:dyDescent="0.35">
      <c r="A49" s="492" t="s">
        <v>34</v>
      </c>
      <c r="B49" s="492"/>
      <c r="C49" s="492"/>
      <c r="D49" s="492"/>
      <c r="E49" s="492"/>
      <c r="F49" s="492"/>
      <c r="G49" s="492"/>
    </row>
    <row r="50" spans="1:7" ht="45.75" customHeight="1" x14ac:dyDescent="0.35">
      <c r="A50" s="492" t="s">
        <v>35</v>
      </c>
      <c r="B50" s="492"/>
      <c r="C50" s="492"/>
      <c r="D50" s="492"/>
      <c r="E50" s="492"/>
      <c r="F50" s="492"/>
      <c r="G50" s="492"/>
    </row>
  </sheetData>
  <mergeCells count="20">
    <mergeCell ref="A40:G40"/>
    <mergeCell ref="A1:G1"/>
    <mergeCell ref="A4:A12"/>
    <mergeCell ref="C4:C8"/>
    <mergeCell ref="C9:C12"/>
    <mergeCell ref="A15:A24"/>
    <mergeCell ref="C20:C24"/>
    <mergeCell ref="A26:A27"/>
    <mergeCell ref="A28:A29"/>
    <mergeCell ref="A36:G36"/>
    <mergeCell ref="A38:G38"/>
    <mergeCell ref="A39:G39"/>
    <mergeCell ref="A49:G49"/>
    <mergeCell ref="A50:G50"/>
    <mergeCell ref="A43:G43"/>
    <mergeCell ref="A44:G44"/>
    <mergeCell ref="A45:G45"/>
    <mergeCell ref="A46:G46"/>
    <mergeCell ref="A47:G47"/>
    <mergeCell ref="A48:G48"/>
  </mergeCells>
  <pageMargins left="0.7" right="0.7" top="0.75" bottom="0.75" header="0.3" footer="0.3"/>
  <pageSetup paperSize="9" scale="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E4B4A-B25F-42B0-A9CC-C81BAB45F196}">
  <sheetPr>
    <tabColor theme="4" tint="0.59999389629810485"/>
    <pageSetUpPr fitToPage="1"/>
  </sheetPr>
  <dimension ref="A1:J44"/>
  <sheetViews>
    <sheetView zoomScale="85" zoomScaleNormal="85" workbookViewId="0">
      <selection activeCell="J2" sqref="J2"/>
    </sheetView>
  </sheetViews>
  <sheetFormatPr defaultColWidth="9.1796875" defaultRowHeight="14.5" x14ac:dyDescent="0.35"/>
  <cols>
    <col min="1" max="1" width="22.1796875" style="331" bestFit="1" customWidth="1"/>
    <col min="2" max="2" width="50.453125" style="331" customWidth="1"/>
    <col min="3" max="3" width="11.81640625" style="331" bestFit="1" customWidth="1"/>
    <col min="4" max="4" width="12" style="331" bestFit="1" customWidth="1"/>
    <col min="5" max="5" width="13.7265625" style="331" customWidth="1"/>
    <col min="6" max="6" width="10.81640625" style="331" bestFit="1" customWidth="1"/>
    <col min="7" max="8" width="10.26953125" style="331" customWidth="1"/>
    <col min="9" max="16384" width="9.1796875" style="331"/>
  </cols>
  <sheetData>
    <row r="1" spans="1:10" ht="41.25" customHeight="1" x14ac:dyDescent="0.35">
      <c r="A1" s="515" t="s">
        <v>68</v>
      </c>
      <c r="B1" s="515"/>
      <c r="C1" s="515"/>
      <c r="D1" s="515"/>
      <c r="E1" s="515"/>
      <c r="F1" s="515"/>
      <c r="G1" s="515"/>
    </row>
    <row r="2" spans="1:10" ht="28.5" thickBot="1" x14ac:dyDescent="0.4">
      <c r="A2" s="332" t="s">
        <v>3</v>
      </c>
      <c r="B2" s="333"/>
      <c r="C2" s="334" t="s">
        <v>4</v>
      </c>
      <c r="D2" s="334" t="s">
        <v>0</v>
      </c>
      <c r="E2" s="335" t="s">
        <v>10</v>
      </c>
      <c r="F2" s="334" t="s">
        <v>1</v>
      </c>
      <c r="G2" s="334" t="s">
        <v>2</v>
      </c>
    </row>
    <row r="3" spans="1:10" ht="15" thickBot="1" x14ac:dyDescent="0.4">
      <c r="A3" s="336" t="s">
        <v>14</v>
      </c>
      <c r="B3" s="337" t="s">
        <v>51</v>
      </c>
      <c r="C3" s="338"/>
      <c r="D3" s="339">
        <f>(D10-D9)*D13</f>
        <v>0</v>
      </c>
      <c r="E3" s="339">
        <f>(E10-E9)*E13</f>
        <v>0</v>
      </c>
      <c r="F3" s="339">
        <f>(F10-F9)*F13</f>
        <v>0</v>
      </c>
      <c r="G3" s="340">
        <f>(G10-G9)*G13</f>
        <v>0</v>
      </c>
    </row>
    <row r="4" spans="1:10" x14ac:dyDescent="0.35">
      <c r="A4" s="516" t="s">
        <v>146</v>
      </c>
      <c r="B4" s="341" t="s">
        <v>11</v>
      </c>
      <c r="C4" s="519" t="s">
        <v>5</v>
      </c>
      <c r="D4" s="342">
        <v>43</v>
      </c>
      <c r="E4" s="343">
        <v>13</v>
      </c>
      <c r="F4" s="342">
        <v>21</v>
      </c>
      <c r="G4" s="344"/>
    </row>
    <row r="5" spans="1:10" x14ac:dyDescent="0.35">
      <c r="A5" s="517"/>
      <c r="B5" s="345" t="s">
        <v>48</v>
      </c>
      <c r="C5" s="520"/>
      <c r="D5" s="346">
        <v>13532</v>
      </c>
      <c r="E5" s="346">
        <v>8938</v>
      </c>
      <c r="F5" s="346">
        <v>7928</v>
      </c>
      <c r="G5" s="347"/>
    </row>
    <row r="6" spans="1:10" x14ac:dyDescent="0.35">
      <c r="A6" s="517"/>
      <c r="B6" s="345" t="s">
        <v>49</v>
      </c>
      <c r="C6" s="520"/>
      <c r="D6" s="346">
        <f>D5+D7-D8</f>
        <v>13532</v>
      </c>
      <c r="E6" s="346">
        <f t="shared" ref="E6:G6" si="0">E5+E7-E8</f>
        <v>8938</v>
      </c>
      <c r="F6" s="346">
        <f t="shared" si="0"/>
        <v>7928</v>
      </c>
      <c r="G6" s="347">
        <f t="shared" si="0"/>
        <v>0</v>
      </c>
    </row>
    <row r="7" spans="1:10" x14ac:dyDescent="0.35">
      <c r="A7" s="517"/>
      <c r="B7" s="348" t="s">
        <v>44</v>
      </c>
      <c r="C7" s="520"/>
      <c r="D7" s="346">
        <v>0</v>
      </c>
      <c r="E7" s="346">
        <v>0</v>
      </c>
      <c r="F7" s="346">
        <v>0</v>
      </c>
      <c r="G7" s="347"/>
    </row>
    <row r="8" spans="1:10" x14ac:dyDescent="0.35">
      <c r="A8" s="517"/>
      <c r="B8" s="348" t="s">
        <v>45</v>
      </c>
      <c r="C8" s="521"/>
      <c r="D8" s="346">
        <v>0</v>
      </c>
      <c r="E8" s="346">
        <v>0</v>
      </c>
      <c r="F8" s="346">
        <v>0</v>
      </c>
      <c r="G8" s="347"/>
    </row>
    <row r="9" spans="1:10" x14ac:dyDescent="0.35">
      <c r="A9" s="517"/>
      <c r="B9" s="345" t="s">
        <v>42</v>
      </c>
      <c r="C9" s="522" t="s">
        <v>7</v>
      </c>
      <c r="D9" s="349">
        <v>195255.24</v>
      </c>
      <c r="E9" s="346">
        <v>84714.880000000005</v>
      </c>
      <c r="F9" s="346">
        <v>56451.12</v>
      </c>
      <c r="G9" s="347"/>
    </row>
    <row r="10" spans="1:10" x14ac:dyDescent="0.35">
      <c r="A10" s="517"/>
      <c r="B10" s="345" t="s">
        <v>50</v>
      </c>
      <c r="C10" s="523"/>
      <c r="D10" s="346">
        <f t="shared" ref="D10:G10" si="1">D9+D11-D12</f>
        <v>195255.24</v>
      </c>
      <c r="E10" s="346">
        <f t="shared" si="1"/>
        <v>84714.880000000005</v>
      </c>
      <c r="F10" s="346">
        <f t="shared" si="1"/>
        <v>56451.12</v>
      </c>
      <c r="G10" s="347">
        <f t="shared" si="1"/>
        <v>0</v>
      </c>
      <c r="H10" s="350"/>
      <c r="I10" s="351"/>
      <c r="J10" s="351"/>
    </row>
    <row r="11" spans="1:10" x14ac:dyDescent="0.35">
      <c r="A11" s="517"/>
      <c r="B11" s="352" t="s">
        <v>46</v>
      </c>
      <c r="C11" s="523"/>
      <c r="D11" s="346">
        <v>0</v>
      </c>
      <c r="E11" s="346">
        <v>0</v>
      </c>
      <c r="F11" s="346">
        <v>0</v>
      </c>
      <c r="G11" s="347"/>
    </row>
    <row r="12" spans="1:10" x14ac:dyDescent="0.35">
      <c r="A12" s="518"/>
      <c r="B12" s="352" t="s">
        <v>47</v>
      </c>
      <c r="C12" s="524"/>
      <c r="D12" s="346">
        <v>0</v>
      </c>
      <c r="E12" s="346">
        <v>0</v>
      </c>
      <c r="F12" s="346">
        <v>0</v>
      </c>
      <c r="G12" s="347"/>
    </row>
    <row r="13" spans="1:10" ht="15.75" customHeight="1" thickBot="1" x14ac:dyDescent="0.4">
      <c r="A13" s="353" t="s">
        <v>146</v>
      </c>
      <c r="B13" s="354" t="s">
        <v>43</v>
      </c>
      <c r="C13" s="355" t="s">
        <v>8</v>
      </c>
      <c r="D13" s="356">
        <v>1.6497606204228714</v>
      </c>
      <c r="E13" s="356">
        <v>0.84440000000000004</v>
      </c>
      <c r="F13" s="356">
        <v>3.0769000000000002</v>
      </c>
      <c r="G13" s="357"/>
    </row>
    <row r="14" spans="1:10" ht="29" thickBot="1" x14ac:dyDescent="0.4">
      <c r="A14" s="358" t="s">
        <v>15</v>
      </c>
      <c r="B14" s="359" t="s">
        <v>41</v>
      </c>
      <c r="C14" s="360"/>
      <c r="D14" s="361">
        <f t="shared" ref="D14:E14" si="2">D16*D18</f>
        <v>0</v>
      </c>
      <c r="E14" s="361">
        <f t="shared" si="2"/>
        <v>0</v>
      </c>
      <c r="F14" s="361">
        <f>F16*F18</f>
        <v>12.36</v>
      </c>
      <c r="G14" s="362">
        <f>G16*G18</f>
        <v>0</v>
      </c>
    </row>
    <row r="15" spans="1:10" ht="30" customHeight="1" x14ac:dyDescent="0.35">
      <c r="A15" s="525" t="s">
        <v>146</v>
      </c>
      <c r="B15" s="363" t="s">
        <v>39</v>
      </c>
      <c r="C15" s="364"/>
      <c r="D15" s="365"/>
      <c r="E15" s="365"/>
      <c r="F15" s="366"/>
      <c r="G15" s="367"/>
    </row>
    <row r="16" spans="1:10" x14ac:dyDescent="0.35">
      <c r="A16" s="526"/>
      <c r="B16" s="368" t="s">
        <v>61</v>
      </c>
      <c r="C16" s="369" t="s">
        <v>25</v>
      </c>
      <c r="D16" s="370"/>
      <c r="E16" s="370"/>
      <c r="F16" s="371">
        <v>5</v>
      </c>
      <c r="G16" s="372"/>
    </row>
    <row r="17" spans="1:10" ht="28.5" x14ac:dyDescent="0.35">
      <c r="A17" s="526"/>
      <c r="B17" s="373" t="s">
        <v>40</v>
      </c>
      <c r="C17" s="527" t="s">
        <v>26</v>
      </c>
      <c r="D17" s="374"/>
      <c r="E17" s="370"/>
      <c r="F17" s="375"/>
      <c r="G17" s="372"/>
    </row>
    <row r="18" spans="1:10" ht="15" thickBot="1" x14ac:dyDescent="0.4">
      <c r="A18" s="526"/>
      <c r="B18" s="368" t="s">
        <v>71</v>
      </c>
      <c r="C18" s="527"/>
      <c r="D18" s="374"/>
      <c r="E18" s="370"/>
      <c r="F18" s="375">
        <v>2.472</v>
      </c>
      <c r="G18" s="372"/>
    </row>
    <row r="19" spans="1:10" x14ac:dyDescent="0.35">
      <c r="A19" s="376" t="s">
        <v>27</v>
      </c>
      <c r="B19" s="377" t="s">
        <v>53</v>
      </c>
      <c r="C19" s="378"/>
      <c r="D19" s="379">
        <f>((D22/D23)-(D20/D21))*D21</f>
        <v>20214.693947085114</v>
      </c>
      <c r="E19" s="379">
        <f>((E22/E23)-(E20/E21))*E21</f>
        <v>7497.5308328569909</v>
      </c>
      <c r="F19" s="379">
        <f>((F22/F23)-(F20/F21))*F21</f>
        <v>3008.5846300603012</v>
      </c>
      <c r="G19" s="380" t="e">
        <f>((G22/G23)-(G20/G21))*G21</f>
        <v>#DIV/0!</v>
      </c>
      <c r="H19" s="381"/>
    </row>
    <row r="20" spans="1:10" ht="56.5" x14ac:dyDescent="0.35">
      <c r="A20" s="512" t="s">
        <v>146</v>
      </c>
      <c r="B20" s="382" t="s">
        <v>36</v>
      </c>
      <c r="C20" s="383" t="s">
        <v>30</v>
      </c>
      <c r="D20" s="384">
        <v>142338.35782071628</v>
      </c>
      <c r="E20" s="385">
        <v>56608.431018671305</v>
      </c>
      <c r="F20" s="384">
        <v>46198.151160612419</v>
      </c>
      <c r="G20" s="386"/>
      <c r="I20" s="351"/>
      <c r="J20" s="351"/>
    </row>
    <row r="21" spans="1:10" x14ac:dyDescent="0.35">
      <c r="A21" s="513"/>
      <c r="B21" s="382" t="s">
        <v>52</v>
      </c>
      <c r="C21" s="383" t="s">
        <v>7</v>
      </c>
      <c r="D21" s="384">
        <f>D10</f>
        <v>195255.24</v>
      </c>
      <c r="E21" s="384">
        <f>E10</f>
        <v>84714.880000000005</v>
      </c>
      <c r="F21" s="384">
        <f>F10</f>
        <v>56451.12</v>
      </c>
      <c r="G21" s="386">
        <f>G10</f>
        <v>0</v>
      </c>
      <c r="I21" s="351"/>
      <c r="J21" s="351"/>
    </row>
    <row r="22" spans="1:10" ht="56.5" x14ac:dyDescent="0.35">
      <c r="A22" s="512" t="s">
        <v>147</v>
      </c>
      <c r="B22" s="382" t="s">
        <v>37</v>
      </c>
      <c r="C22" s="383" t="s">
        <v>30</v>
      </c>
      <c r="D22" s="384">
        <v>189252.3304380051</v>
      </c>
      <c r="E22" s="384">
        <v>64058.076223100739</v>
      </c>
      <c r="F22" s="384">
        <v>50551.443338894169</v>
      </c>
      <c r="G22" s="386"/>
      <c r="I22" s="351"/>
      <c r="J22" s="351"/>
    </row>
    <row r="23" spans="1:10" ht="15" thickBot="1" x14ac:dyDescent="0.4">
      <c r="A23" s="513"/>
      <c r="B23" s="387" t="s">
        <v>38</v>
      </c>
      <c r="C23" s="388" t="s">
        <v>7</v>
      </c>
      <c r="D23" s="389">
        <v>227325.84099999999</v>
      </c>
      <c r="E23" s="389">
        <v>84651.6</v>
      </c>
      <c r="F23" s="389">
        <v>57993.8</v>
      </c>
      <c r="G23" s="390"/>
      <c r="I23" s="351"/>
      <c r="J23" s="351"/>
    </row>
    <row r="24" spans="1:10" x14ac:dyDescent="0.35">
      <c r="A24" s="391"/>
      <c r="B24" s="391"/>
      <c r="C24" s="391"/>
      <c r="D24" s="391"/>
      <c r="E24" s="391"/>
      <c r="F24" s="391"/>
      <c r="G24" s="391"/>
    </row>
    <row r="25" spans="1:10" x14ac:dyDescent="0.35">
      <c r="A25" s="391"/>
      <c r="B25" s="391"/>
      <c r="C25" s="391"/>
      <c r="D25" s="391"/>
      <c r="E25" s="391"/>
      <c r="F25" s="391"/>
      <c r="G25" s="391"/>
    </row>
    <row r="26" spans="1:10" ht="15" thickBot="1" x14ac:dyDescent="0.4">
      <c r="A26" s="391"/>
      <c r="B26" s="392" t="s">
        <v>88</v>
      </c>
      <c r="C26" s="393"/>
      <c r="D26" s="393"/>
      <c r="E26" s="393"/>
      <c r="F26" s="393"/>
      <c r="G26" s="393"/>
    </row>
    <row r="27" spans="1:10" ht="15" thickTop="1" x14ac:dyDescent="0.35">
      <c r="A27" s="391"/>
      <c r="B27" s="391"/>
      <c r="C27" s="391"/>
      <c r="D27" s="391"/>
      <c r="E27" s="391"/>
      <c r="F27" s="391"/>
      <c r="G27" s="391"/>
    </row>
    <row r="28" spans="1:10" x14ac:dyDescent="0.35">
      <c r="A28" s="391"/>
      <c r="B28" s="391"/>
      <c r="C28" s="391"/>
      <c r="D28" s="391"/>
      <c r="E28" s="391"/>
      <c r="F28" s="391"/>
      <c r="G28" s="391"/>
    </row>
    <row r="29" spans="1:10" x14ac:dyDescent="0.35">
      <c r="A29" s="391" t="s">
        <v>9</v>
      </c>
      <c r="B29" s="391"/>
      <c r="C29" s="391"/>
      <c r="D29" s="391"/>
      <c r="E29" s="391"/>
      <c r="F29" s="391"/>
      <c r="G29" s="391"/>
    </row>
    <row r="30" spans="1:10" x14ac:dyDescent="0.35">
      <c r="A30" s="510" t="s">
        <v>24</v>
      </c>
      <c r="B30" s="510"/>
      <c r="C30" s="510"/>
      <c r="D30" s="510"/>
      <c r="E30" s="510"/>
      <c r="F30" s="510"/>
      <c r="G30" s="510"/>
    </row>
    <row r="31" spans="1:10" x14ac:dyDescent="0.35">
      <c r="A31" s="394" t="s">
        <v>23</v>
      </c>
      <c r="B31" s="394"/>
      <c r="C31" s="394"/>
      <c r="D31" s="394"/>
      <c r="E31" s="394"/>
      <c r="F31" s="394"/>
      <c r="G31" s="394"/>
    </row>
    <row r="32" spans="1:10" x14ac:dyDescent="0.35">
      <c r="A32" s="514" t="s">
        <v>16</v>
      </c>
      <c r="B32" s="514"/>
      <c r="C32" s="514"/>
      <c r="D32" s="514"/>
      <c r="E32" s="514"/>
      <c r="F32" s="514"/>
      <c r="G32" s="514"/>
    </row>
    <row r="33" spans="1:7" x14ac:dyDescent="0.35">
      <c r="A33" s="510" t="s">
        <v>18</v>
      </c>
      <c r="B33" s="510"/>
      <c r="C33" s="510"/>
      <c r="D33" s="510"/>
      <c r="E33" s="510"/>
      <c r="F33" s="510"/>
      <c r="G33" s="510"/>
    </row>
    <row r="34" spans="1:7" ht="31.5" customHeight="1" x14ac:dyDescent="0.35">
      <c r="A34" s="510" t="s">
        <v>31</v>
      </c>
      <c r="B34" s="510"/>
      <c r="C34" s="510"/>
      <c r="D34" s="510"/>
      <c r="E34" s="510"/>
      <c r="F34" s="510"/>
      <c r="G34" s="510"/>
    </row>
    <row r="35" spans="1:7" x14ac:dyDescent="0.35">
      <c r="A35" s="394"/>
      <c r="B35" s="394"/>
      <c r="C35" s="394"/>
      <c r="D35" s="394"/>
      <c r="E35" s="394"/>
      <c r="F35" s="394"/>
      <c r="G35" s="394"/>
    </row>
    <row r="36" spans="1:7" x14ac:dyDescent="0.35">
      <c r="A36" s="395" t="s">
        <v>17</v>
      </c>
      <c r="B36" s="394"/>
      <c r="C36" s="394"/>
      <c r="D36" s="394"/>
      <c r="E36" s="394"/>
      <c r="F36" s="394"/>
      <c r="G36" s="394"/>
    </row>
    <row r="37" spans="1:7" x14ac:dyDescent="0.35">
      <c r="A37" s="510" t="s">
        <v>32</v>
      </c>
      <c r="B37" s="510"/>
      <c r="C37" s="510"/>
      <c r="D37" s="510"/>
      <c r="E37" s="510"/>
      <c r="F37" s="510"/>
      <c r="G37" s="510"/>
    </row>
    <row r="38" spans="1:7" x14ac:dyDescent="0.35">
      <c r="A38" s="510" t="s">
        <v>19</v>
      </c>
      <c r="B38" s="510"/>
      <c r="C38" s="510"/>
      <c r="D38" s="510"/>
      <c r="E38" s="510"/>
      <c r="F38" s="510"/>
      <c r="G38" s="510"/>
    </row>
    <row r="39" spans="1:7" x14ac:dyDescent="0.35">
      <c r="A39" s="510" t="s">
        <v>21</v>
      </c>
      <c r="B39" s="510"/>
      <c r="C39" s="510"/>
      <c r="D39" s="510"/>
      <c r="E39" s="510"/>
      <c r="F39" s="510"/>
      <c r="G39" s="510"/>
    </row>
    <row r="40" spans="1:7" x14ac:dyDescent="0.35">
      <c r="A40" s="510" t="s">
        <v>33</v>
      </c>
      <c r="B40" s="510"/>
      <c r="C40" s="510"/>
      <c r="D40" s="510"/>
      <c r="E40" s="510"/>
      <c r="F40" s="510"/>
      <c r="G40" s="510"/>
    </row>
    <row r="41" spans="1:7" x14ac:dyDescent="0.35">
      <c r="A41" s="510" t="s">
        <v>20</v>
      </c>
      <c r="B41" s="510"/>
      <c r="C41" s="510"/>
      <c r="D41" s="510"/>
      <c r="E41" s="510"/>
      <c r="F41" s="510"/>
      <c r="G41" s="510"/>
    </row>
    <row r="42" spans="1:7" x14ac:dyDescent="0.35">
      <c r="A42" s="511" t="s">
        <v>22</v>
      </c>
      <c r="B42" s="511"/>
      <c r="C42" s="511"/>
      <c r="D42" s="511"/>
      <c r="E42" s="511"/>
      <c r="F42" s="511"/>
      <c r="G42" s="511"/>
    </row>
    <row r="43" spans="1:7" x14ac:dyDescent="0.35">
      <c r="A43" s="510" t="s">
        <v>34</v>
      </c>
      <c r="B43" s="510"/>
      <c r="C43" s="510"/>
      <c r="D43" s="510"/>
      <c r="E43" s="510"/>
      <c r="F43" s="510"/>
      <c r="G43" s="510"/>
    </row>
    <row r="44" spans="1:7" ht="45.75" customHeight="1" x14ac:dyDescent="0.35">
      <c r="A44" s="510" t="s">
        <v>35</v>
      </c>
      <c r="B44" s="510"/>
      <c r="C44" s="510"/>
      <c r="D44" s="510"/>
      <c r="E44" s="510"/>
      <c r="F44" s="510"/>
      <c r="G44" s="510"/>
    </row>
  </sheetData>
  <mergeCells count="20">
    <mergeCell ref="A34:G34"/>
    <mergeCell ref="A1:G1"/>
    <mergeCell ref="A4:A12"/>
    <mergeCell ref="C4:C8"/>
    <mergeCell ref="C9:C12"/>
    <mergeCell ref="A15:A18"/>
    <mergeCell ref="C17:C18"/>
    <mergeCell ref="A20:A21"/>
    <mergeCell ref="A22:A23"/>
    <mergeCell ref="A30:G30"/>
    <mergeCell ref="A32:G32"/>
    <mergeCell ref="A33:G33"/>
    <mergeCell ref="A43:G43"/>
    <mergeCell ref="A44:G44"/>
    <mergeCell ref="A37:G37"/>
    <mergeCell ref="A38:G38"/>
    <mergeCell ref="A39:G39"/>
    <mergeCell ref="A40:G40"/>
    <mergeCell ref="A41:G41"/>
    <mergeCell ref="A42:G42"/>
  </mergeCells>
  <pageMargins left="0.7" right="0.7" top="0.75" bottom="0.75" header="0.3" footer="0.3"/>
  <pageSetup paperSize="9" scale="6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C2D21-EDA2-4A1B-9D29-619DC23A22DA}">
  <sheetPr>
    <tabColor theme="4" tint="0.59999389629810485"/>
    <pageSetUpPr fitToPage="1"/>
  </sheetPr>
  <dimension ref="A1:J60"/>
  <sheetViews>
    <sheetView workbookViewId="0">
      <selection activeCell="J4" sqref="J4"/>
    </sheetView>
  </sheetViews>
  <sheetFormatPr defaultColWidth="9.1796875" defaultRowHeight="14.5" x14ac:dyDescent="0.35"/>
  <cols>
    <col min="1" max="1" width="22.1796875" style="331" bestFit="1" customWidth="1"/>
    <col min="2" max="2" width="49.81640625" style="331" customWidth="1"/>
    <col min="3" max="3" width="10.26953125" style="331" customWidth="1"/>
    <col min="4" max="4" width="12" style="331" bestFit="1" customWidth="1"/>
    <col min="5" max="5" width="13.7265625" style="331" customWidth="1"/>
    <col min="6" max="6" width="10.81640625" style="331" bestFit="1" customWidth="1"/>
    <col min="7" max="7" width="10.26953125" style="331" customWidth="1"/>
    <col min="8" max="8" width="9.54296875" style="331" bestFit="1" customWidth="1"/>
    <col min="9" max="16384" width="9.1796875" style="331"/>
  </cols>
  <sheetData>
    <row r="1" spans="1:9" ht="41.25" customHeight="1" x14ac:dyDescent="0.35">
      <c r="A1" s="515" t="s">
        <v>68</v>
      </c>
      <c r="B1" s="515"/>
      <c r="C1" s="515"/>
      <c r="D1" s="515"/>
      <c r="E1" s="515"/>
      <c r="F1" s="515"/>
      <c r="G1" s="515"/>
    </row>
    <row r="2" spans="1:9" ht="28.5" thickBot="1" x14ac:dyDescent="0.4">
      <c r="A2" s="332" t="s">
        <v>3</v>
      </c>
      <c r="B2" s="333"/>
      <c r="C2" s="334" t="s">
        <v>4</v>
      </c>
      <c r="D2" s="334" t="s">
        <v>0</v>
      </c>
      <c r="E2" s="335" t="s">
        <v>10</v>
      </c>
      <c r="F2" s="334" t="s">
        <v>1</v>
      </c>
      <c r="G2" s="334" t="s">
        <v>2</v>
      </c>
    </row>
    <row r="3" spans="1:9" ht="15" thickBot="1" x14ac:dyDescent="0.4">
      <c r="A3" s="336" t="s">
        <v>14</v>
      </c>
      <c r="B3" s="337" t="s">
        <v>51</v>
      </c>
      <c r="C3" s="338"/>
      <c r="D3" s="339">
        <f>(D10-D9)*D13</f>
        <v>-5826.6116697263024</v>
      </c>
      <c r="E3" s="339">
        <f>(E10-E9)*E13</f>
        <v>-1120.5747288309296</v>
      </c>
      <c r="F3" s="339">
        <f>(F10-F9)*F13</f>
        <v>-5405.919003581751</v>
      </c>
      <c r="G3" s="340">
        <f>(G10-G9)*G13</f>
        <v>0</v>
      </c>
    </row>
    <row r="4" spans="1:9" x14ac:dyDescent="0.35">
      <c r="A4" s="516" t="s">
        <v>148</v>
      </c>
      <c r="B4" s="396" t="s">
        <v>11</v>
      </c>
      <c r="C4" s="520" t="s">
        <v>5</v>
      </c>
      <c r="D4" s="397">
        <v>43</v>
      </c>
      <c r="E4" s="398">
        <v>13</v>
      </c>
      <c r="F4" s="397">
        <v>20</v>
      </c>
      <c r="G4" s="344"/>
    </row>
    <row r="5" spans="1:9" x14ac:dyDescent="0.35">
      <c r="A5" s="517"/>
      <c r="B5" s="345" t="s">
        <v>48</v>
      </c>
      <c r="C5" s="520"/>
      <c r="D5" s="346">
        <v>13637</v>
      </c>
      <c r="E5" s="346">
        <v>9106</v>
      </c>
      <c r="F5" s="399">
        <v>8116</v>
      </c>
      <c r="G5" s="347"/>
    </row>
    <row r="6" spans="1:9" x14ac:dyDescent="0.35">
      <c r="A6" s="517"/>
      <c r="B6" s="345" t="s">
        <v>49</v>
      </c>
      <c r="C6" s="520"/>
      <c r="D6" s="400">
        <f>D5+D7-D8</f>
        <v>13410</v>
      </c>
      <c r="E6" s="400">
        <f t="shared" ref="E6:F6" si="0">E5+E7-E8</f>
        <v>8929</v>
      </c>
      <c r="F6" s="400">
        <f t="shared" si="0"/>
        <v>7874</v>
      </c>
      <c r="G6" s="401"/>
    </row>
    <row r="7" spans="1:9" x14ac:dyDescent="0.35">
      <c r="A7" s="517"/>
      <c r="B7" s="348" t="s">
        <v>44</v>
      </c>
      <c r="C7" s="520"/>
      <c r="D7" s="400">
        <v>0</v>
      </c>
      <c r="E7" s="400">
        <v>0</v>
      </c>
      <c r="F7" s="400">
        <v>0</v>
      </c>
      <c r="G7" s="401"/>
    </row>
    <row r="8" spans="1:9" x14ac:dyDescent="0.35">
      <c r="A8" s="517"/>
      <c r="B8" s="348" t="s">
        <v>45</v>
      </c>
      <c r="C8" s="521"/>
      <c r="D8" s="400">
        <v>227</v>
      </c>
      <c r="E8" s="400">
        <v>177</v>
      </c>
      <c r="F8" s="400">
        <v>242</v>
      </c>
      <c r="G8" s="401"/>
    </row>
    <row r="9" spans="1:9" x14ac:dyDescent="0.35">
      <c r="A9" s="517"/>
      <c r="B9" s="345" t="s">
        <v>42</v>
      </c>
      <c r="C9" s="522" t="s">
        <v>7</v>
      </c>
      <c r="D9" s="400">
        <v>197017.65</v>
      </c>
      <c r="E9" s="400">
        <v>86831.03</v>
      </c>
      <c r="F9" s="400">
        <v>57790.919000000002</v>
      </c>
      <c r="G9" s="401"/>
    </row>
    <row r="10" spans="1:9" x14ac:dyDescent="0.35">
      <c r="A10" s="517"/>
      <c r="B10" s="345" t="s">
        <v>50</v>
      </c>
      <c r="C10" s="523"/>
      <c r="D10" s="400">
        <f>D9+D11-D12</f>
        <v>193640.53</v>
      </c>
      <c r="E10" s="400">
        <f t="shared" ref="E10:F10" si="1">E9+E11-E12</f>
        <v>85566.62</v>
      </c>
      <c r="F10" s="400">
        <f t="shared" si="1"/>
        <v>56054.199000000001</v>
      </c>
      <c r="G10" s="401"/>
      <c r="H10" s="350"/>
      <c r="I10" s="351"/>
    </row>
    <row r="11" spans="1:9" x14ac:dyDescent="0.35">
      <c r="A11" s="517"/>
      <c r="B11" s="352" t="s">
        <v>46</v>
      </c>
      <c r="C11" s="523"/>
      <c r="D11" s="400">
        <v>0</v>
      </c>
      <c r="E11" s="400">
        <v>0</v>
      </c>
      <c r="F11" s="400">
        <v>0</v>
      </c>
      <c r="G11" s="401"/>
    </row>
    <row r="12" spans="1:9" x14ac:dyDescent="0.35">
      <c r="A12" s="518"/>
      <c r="B12" s="352" t="s">
        <v>47</v>
      </c>
      <c r="C12" s="524"/>
      <c r="D12" s="400">
        <v>3377.12</v>
      </c>
      <c r="E12" s="400">
        <v>1264.4100000000001</v>
      </c>
      <c r="F12" s="400">
        <v>1736.72</v>
      </c>
      <c r="G12" s="401"/>
    </row>
    <row r="13" spans="1:9" ht="15" thickBot="1" x14ac:dyDescent="0.4">
      <c r="A13" s="353" t="s">
        <v>148</v>
      </c>
      <c r="B13" s="354" t="s">
        <v>43</v>
      </c>
      <c r="C13" s="355" t="s">
        <v>8</v>
      </c>
      <c r="D13" s="402">
        <v>1.7253197013213362</v>
      </c>
      <c r="E13" s="402">
        <v>0.8862431717804562</v>
      </c>
      <c r="F13" s="402">
        <v>3.1127176537275711</v>
      </c>
      <c r="G13" s="403"/>
    </row>
    <row r="14" spans="1:9" ht="29" thickBot="1" x14ac:dyDescent="0.4">
      <c r="A14" s="358" t="s">
        <v>15</v>
      </c>
      <c r="B14" s="359" t="s">
        <v>41</v>
      </c>
      <c r="C14" s="360"/>
      <c r="D14" s="361">
        <f>SUM(D17*D27,D18*D28,D20*D30,D31*D21)</f>
        <v>190.82645999999997</v>
      </c>
      <c r="E14" s="361">
        <f>SUM(E17*E27,E18*E28,E20*E30,E31*E21)</f>
        <v>81.286945000000003</v>
      </c>
      <c r="F14" s="361">
        <f>SUM(F16*F26,F17*F27,F19*F29,F24*F34,F23*F33)</f>
        <v>100.00980000000001</v>
      </c>
      <c r="G14" s="361">
        <f>SUM(G16*G26,G17*G27,G19*G29,G24*G34,G23*G33)</f>
        <v>0</v>
      </c>
    </row>
    <row r="15" spans="1:9" ht="30" customHeight="1" x14ac:dyDescent="0.35">
      <c r="A15" s="525" t="s">
        <v>148</v>
      </c>
      <c r="B15" s="404" t="s">
        <v>39</v>
      </c>
      <c r="C15" s="405"/>
      <c r="D15" s="406"/>
      <c r="E15" s="406"/>
      <c r="F15" s="406"/>
      <c r="G15" s="407"/>
    </row>
    <row r="16" spans="1:9" x14ac:dyDescent="0.35">
      <c r="A16" s="526"/>
      <c r="B16" s="368" t="s">
        <v>61</v>
      </c>
      <c r="C16" s="369" t="s">
        <v>25</v>
      </c>
      <c r="D16" s="406"/>
      <c r="E16" s="406"/>
      <c r="F16" s="408">
        <v>10</v>
      </c>
      <c r="G16" s="407"/>
    </row>
    <row r="17" spans="1:7" x14ac:dyDescent="0.35">
      <c r="A17" s="526"/>
      <c r="B17" s="368" t="s">
        <v>149</v>
      </c>
      <c r="C17" s="369" t="s">
        <v>25</v>
      </c>
      <c r="D17" s="406">
        <v>0.5</v>
      </c>
      <c r="E17" s="406">
        <v>0.20899999999999999</v>
      </c>
      <c r="F17" s="408"/>
      <c r="G17" s="407"/>
    </row>
    <row r="18" spans="1:7" x14ac:dyDescent="0.35">
      <c r="A18" s="526"/>
      <c r="B18" s="368" t="s">
        <v>72</v>
      </c>
      <c r="C18" s="369" t="s">
        <v>59</v>
      </c>
      <c r="D18" s="409">
        <v>1.04</v>
      </c>
      <c r="E18" s="409">
        <v>0.43</v>
      </c>
      <c r="F18" s="408"/>
      <c r="G18" s="407"/>
    </row>
    <row r="19" spans="1:7" x14ac:dyDescent="0.35">
      <c r="A19" s="526"/>
      <c r="B19" s="368" t="s">
        <v>12</v>
      </c>
      <c r="C19" s="369" t="s">
        <v>59</v>
      </c>
      <c r="D19" s="410"/>
      <c r="E19" s="410"/>
      <c r="F19" s="410">
        <v>50</v>
      </c>
      <c r="G19" s="411"/>
    </row>
    <row r="20" spans="1:7" x14ac:dyDescent="0.35">
      <c r="A20" s="526"/>
      <c r="B20" s="368" t="s">
        <v>150</v>
      </c>
      <c r="C20" s="369" t="s">
        <v>59</v>
      </c>
      <c r="D20" s="410">
        <v>614</v>
      </c>
      <c r="E20" s="410">
        <v>259</v>
      </c>
      <c r="F20" s="410"/>
      <c r="G20" s="411"/>
    </row>
    <row r="21" spans="1:7" x14ac:dyDescent="0.35">
      <c r="A21" s="526"/>
      <c r="B21" s="368" t="s">
        <v>151</v>
      </c>
      <c r="C21" s="369" t="s">
        <v>59</v>
      </c>
      <c r="D21" s="410">
        <v>161</v>
      </c>
      <c r="E21" s="410">
        <v>91</v>
      </c>
      <c r="F21" s="410"/>
      <c r="G21" s="411"/>
    </row>
    <row r="22" spans="1:7" x14ac:dyDescent="0.35">
      <c r="A22" s="526"/>
      <c r="B22" s="412" t="s">
        <v>75</v>
      </c>
      <c r="C22" s="369"/>
      <c r="D22" s="409"/>
      <c r="E22" s="409"/>
      <c r="F22" s="409"/>
      <c r="G22" s="411"/>
    </row>
    <row r="23" spans="1:7" x14ac:dyDescent="0.35">
      <c r="A23" s="526"/>
      <c r="B23" s="413" t="s">
        <v>152</v>
      </c>
      <c r="C23" s="369" t="s">
        <v>59</v>
      </c>
      <c r="D23" s="409"/>
      <c r="E23" s="409"/>
      <c r="F23" s="410">
        <v>10</v>
      </c>
      <c r="G23" s="411"/>
    </row>
    <row r="24" spans="1:7" ht="15" thickBot="1" x14ac:dyDescent="0.4">
      <c r="A24" s="526"/>
      <c r="B24" s="368" t="s">
        <v>153</v>
      </c>
      <c r="C24" s="369" t="s">
        <v>59</v>
      </c>
      <c r="D24" s="409"/>
      <c r="E24" s="409"/>
      <c r="F24" s="410">
        <v>3</v>
      </c>
      <c r="G24" s="411"/>
    </row>
    <row r="25" spans="1:7" ht="28.5" x14ac:dyDescent="0.35">
      <c r="A25" s="526"/>
      <c r="B25" s="363" t="s">
        <v>40</v>
      </c>
      <c r="C25" s="527" t="s">
        <v>26</v>
      </c>
      <c r="D25" s="414"/>
      <c r="E25" s="414"/>
      <c r="F25" s="414"/>
      <c r="G25" s="415"/>
    </row>
    <row r="26" spans="1:7" x14ac:dyDescent="0.35">
      <c r="A26" s="526"/>
      <c r="B26" s="368" t="s">
        <v>57</v>
      </c>
      <c r="C26" s="527"/>
      <c r="D26" s="406"/>
      <c r="E26" s="406"/>
      <c r="F26" s="406">
        <v>2.472</v>
      </c>
      <c r="G26" s="407"/>
    </row>
    <row r="27" spans="1:7" x14ac:dyDescent="0.35">
      <c r="A27" s="526"/>
      <c r="B27" s="368" t="s">
        <v>149</v>
      </c>
      <c r="C27" s="527"/>
      <c r="D27" s="406">
        <v>4.4649999999999999</v>
      </c>
      <c r="E27" s="406">
        <v>4.4649999999999999</v>
      </c>
      <c r="F27" s="406"/>
      <c r="G27" s="407"/>
    </row>
    <row r="28" spans="1:7" x14ac:dyDescent="0.35">
      <c r="A28" s="526"/>
      <c r="B28" s="368" t="s">
        <v>72</v>
      </c>
      <c r="C28" s="527"/>
      <c r="D28" s="406">
        <v>4.5</v>
      </c>
      <c r="E28" s="406">
        <v>4.5</v>
      </c>
      <c r="F28" s="406"/>
      <c r="G28" s="407"/>
    </row>
    <row r="29" spans="1:7" x14ac:dyDescent="0.35">
      <c r="A29" s="526"/>
      <c r="B29" s="368" t="s">
        <v>12</v>
      </c>
      <c r="C29" s="527"/>
      <c r="D29" s="409"/>
      <c r="E29" s="409"/>
      <c r="F29" s="409">
        <v>0.35680000000000001</v>
      </c>
      <c r="G29" s="411"/>
    </row>
    <row r="30" spans="1:7" x14ac:dyDescent="0.35">
      <c r="A30" s="526"/>
      <c r="B30" s="368" t="s">
        <v>150</v>
      </c>
      <c r="C30" s="527"/>
      <c r="D30" s="409">
        <v>0.28999999999999998</v>
      </c>
      <c r="E30" s="409">
        <v>0.28999999999999998</v>
      </c>
      <c r="F30" s="409"/>
      <c r="G30" s="411"/>
    </row>
    <row r="31" spans="1:7" x14ac:dyDescent="0.35">
      <c r="A31" s="526"/>
      <c r="B31" s="368" t="s">
        <v>151</v>
      </c>
      <c r="C31" s="527"/>
      <c r="D31" s="409">
        <v>3.6360000000000003E-2</v>
      </c>
      <c r="E31" s="409">
        <v>3.6360000000000003E-2</v>
      </c>
      <c r="F31" s="409"/>
      <c r="G31" s="411"/>
    </row>
    <row r="32" spans="1:7" x14ac:dyDescent="0.35">
      <c r="A32" s="526"/>
      <c r="B32" s="412" t="s">
        <v>75</v>
      </c>
      <c r="C32" s="527"/>
      <c r="D32" s="409"/>
      <c r="E32" s="409"/>
      <c r="F32" s="409"/>
      <c r="G32" s="411"/>
    </row>
    <row r="33" spans="1:10" x14ac:dyDescent="0.35">
      <c r="A33" s="526"/>
      <c r="B33" s="413" t="s">
        <v>152</v>
      </c>
      <c r="C33" s="527"/>
      <c r="D33" s="409"/>
      <c r="E33" s="409"/>
      <c r="F33" s="409">
        <v>3.1960000000000002</v>
      </c>
      <c r="G33" s="411"/>
    </row>
    <row r="34" spans="1:10" ht="15" thickBot="1" x14ac:dyDescent="0.4">
      <c r="A34" s="526"/>
      <c r="B34" s="368" t="s">
        <v>153</v>
      </c>
      <c r="C34" s="527"/>
      <c r="D34" s="409"/>
      <c r="E34" s="409"/>
      <c r="F34" s="409">
        <v>8.4966000000000008</v>
      </c>
      <c r="G34" s="411"/>
    </row>
    <row r="35" spans="1:10" x14ac:dyDescent="0.35">
      <c r="A35" s="376" t="s">
        <v>27</v>
      </c>
      <c r="B35" s="377" t="s">
        <v>53</v>
      </c>
      <c r="C35" s="378"/>
      <c r="D35" s="379">
        <f>((D38/D39)-(D36/D37))*D37</f>
        <v>35566.216270804682</v>
      </c>
      <c r="E35" s="379">
        <f>((E38/E39)-(E36/E37))*E37</f>
        <v>15919.933647113457</v>
      </c>
      <c r="F35" s="379">
        <f>((F38/F39)-(F36/F37))*F37</f>
        <v>9727.7845444887462</v>
      </c>
      <c r="G35" s="379">
        <v>0</v>
      </c>
    </row>
    <row r="36" spans="1:10" ht="56.5" x14ac:dyDescent="0.35">
      <c r="A36" s="512" t="s">
        <v>148</v>
      </c>
      <c r="B36" s="382" t="s">
        <v>36</v>
      </c>
      <c r="C36" s="383" t="s">
        <v>30</v>
      </c>
      <c r="D36" s="416">
        <v>124641.08</v>
      </c>
      <c r="E36" s="417">
        <v>48669.33</v>
      </c>
      <c r="F36" s="416">
        <v>40456.28</v>
      </c>
      <c r="G36" s="418"/>
      <c r="H36" s="351"/>
      <c r="J36" s="351"/>
    </row>
    <row r="37" spans="1:10" x14ac:dyDescent="0.35">
      <c r="A37" s="513"/>
      <c r="B37" s="382" t="s">
        <v>52</v>
      </c>
      <c r="C37" s="383" t="s">
        <v>7</v>
      </c>
      <c r="D37" s="416">
        <f>D10</f>
        <v>193640.53</v>
      </c>
      <c r="E37" s="416">
        <f>E10</f>
        <v>85566.62</v>
      </c>
      <c r="F37" s="416">
        <f>F10</f>
        <v>56054.199000000001</v>
      </c>
      <c r="G37" s="418"/>
      <c r="H37" s="351"/>
      <c r="J37" s="351"/>
    </row>
    <row r="38" spans="1:10" ht="56.5" x14ac:dyDescent="0.35">
      <c r="A38" s="512" t="s">
        <v>154</v>
      </c>
      <c r="B38" s="382" t="s">
        <v>37</v>
      </c>
      <c r="C38" s="383" t="s">
        <v>30</v>
      </c>
      <c r="D38" s="416">
        <v>197227.57</v>
      </c>
      <c r="E38" s="416">
        <v>65940.740000000005</v>
      </c>
      <c r="F38" s="416">
        <v>54298.94</v>
      </c>
      <c r="G38" s="418"/>
      <c r="H38" s="351"/>
      <c r="J38" s="351"/>
    </row>
    <row r="39" spans="1:10" ht="15" thickBot="1" x14ac:dyDescent="0.4">
      <c r="A39" s="513"/>
      <c r="B39" s="387" t="s">
        <v>38</v>
      </c>
      <c r="C39" s="388" t="s">
        <v>7</v>
      </c>
      <c r="D39" s="419">
        <v>238386.46599999999</v>
      </c>
      <c r="E39" s="419">
        <v>87357.03</v>
      </c>
      <c r="F39" s="419">
        <v>60650.400000000001</v>
      </c>
      <c r="G39" s="420"/>
      <c r="H39" s="351"/>
      <c r="J39" s="351"/>
    </row>
    <row r="40" spans="1:10" x14ac:dyDescent="0.35">
      <c r="A40" s="391"/>
      <c r="B40" s="391"/>
      <c r="C40" s="391"/>
      <c r="D40" s="391"/>
      <c r="E40" s="391"/>
      <c r="F40" s="391"/>
      <c r="G40" s="391"/>
    </row>
    <row r="41" spans="1:10" x14ac:dyDescent="0.35">
      <c r="A41" s="391"/>
      <c r="B41" s="391"/>
      <c r="C41" s="391"/>
      <c r="D41" s="391"/>
      <c r="E41" s="391"/>
      <c r="F41" s="391"/>
      <c r="G41" s="391"/>
    </row>
    <row r="42" spans="1:10" ht="15" thickBot="1" x14ac:dyDescent="0.4">
      <c r="A42" s="391"/>
      <c r="B42" s="392" t="s">
        <v>67</v>
      </c>
      <c r="C42" s="393"/>
      <c r="D42" s="393"/>
      <c r="E42" s="393"/>
      <c r="F42" s="393"/>
      <c r="G42" s="393"/>
    </row>
    <row r="43" spans="1:10" ht="15" thickTop="1" x14ac:dyDescent="0.35">
      <c r="A43" s="391"/>
      <c r="B43" s="391"/>
      <c r="C43" s="391"/>
      <c r="D43" s="391"/>
      <c r="E43" s="391"/>
      <c r="F43" s="391"/>
      <c r="G43" s="391"/>
    </row>
    <row r="44" spans="1:10" x14ac:dyDescent="0.35">
      <c r="A44" s="391"/>
      <c r="B44" s="391"/>
      <c r="C44" s="391"/>
      <c r="D44" s="391"/>
      <c r="E44" s="391"/>
      <c r="F44" s="391"/>
      <c r="G44" s="391"/>
    </row>
    <row r="45" spans="1:10" x14ac:dyDescent="0.35">
      <c r="A45" s="391" t="s">
        <v>9</v>
      </c>
      <c r="B45" s="391"/>
      <c r="C45" s="391"/>
      <c r="D45" s="391"/>
      <c r="E45" s="391"/>
      <c r="F45" s="391"/>
      <c r="G45" s="391"/>
    </row>
    <row r="46" spans="1:10" x14ac:dyDescent="0.35">
      <c r="A46" s="510" t="s">
        <v>24</v>
      </c>
      <c r="B46" s="510"/>
      <c r="C46" s="510"/>
      <c r="D46" s="510"/>
      <c r="E46" s="510"/>
      <c r="F46" s="510"/>
      <c r="G46" s="510"/>
    </row>
    <row r="47" spans="1:10" x14ac:dyDescent="0.35">
      <c r="A47" s="394" t="s">
        <v>23</v>
      </c>
      <c r="B47" s="394"/>
      <c r="C47" s="394"/>
      <c r="D47" s="394"/>
      <c r="E47" s="394"/>
      <c r="F47" s="394"/>
      <c r="G47" s="394"/>
    </row>
    <row r="48" spans="1:10" x14ac:dyDescent="0.35">
      <c r="A48" s="514" t="s">
        <v>16</v>
      </c>
      <c r="B48" s="514"/>
      <c r="C48" s="514"/>
      <c r="D48" s="514"/>
      <c r="E48" s="514"/>
      <c r="F48" s="514"/>
      <c r="G48" s="514"/>
    </row>
    <row r="49" spans="1:7" x14ac:dyDescent="0.35">
      <c r="A49" s="510" t="s">
        <v>155</v>
      </c>
      <c r="B49" s="510"/>
      <c r="C49" s="510"/>
      <c r="D49" s="510"/>
      <c r="E49" s="510"/>
      <c r="F49" s="510"/>
      <c r="G49" s="510"/>
    </row>
    <row r="50" spans="1:7" x14ac:dyDescent="0.35">
      <c r="A50" s="510" t="s">
        <v>31</v>
      </c>
      <c r="B50" s="510"/>
      <c r="C50" s="510"/>
      <c r="D50" s="510"/>
      <c r="E50" s="510"/>
      <c r="F50" s="510"/>
      <c r="G50" s="510"/>
    </row>
    <row r="51" spans="1:7" x14ac:dyDescent="0.35">
      <c r="A51" s="394"/>
      <c r="B51" s="394"/>
      <c r="C51" s="394"/>
      <c r="D51" s="394"/>
      <c r="E51" s="394"/>
      <c r="F51" s="394"/>
      <c r="G51" s="394"/>
    </row>
    <row r="52" spans="1:7" x14ac:dyDescent="0.35">
      <c r="A52" s="395" t="s">
        <v>17</v>
      </c>
      <c r="B52" s="394"/>
      <c r="C52" s="394"/>
      <c r="D52" s="394"/>
      <c r="E52" s="394"/>
      <c r="F52" s="394"/>
      <c r="G52" s="394"/>
    </row>
    <row r="53" spans="1:7" x14ac:dyDescent="0.35">
      <c r="A53" s="510" t="s">
        <v>32</v>
      </c>
      <c r="B53" s="510"/>
      <c r="C53" s="510"/>
      <c r="D53" s="510"/>
      <c r="E53" s="510"/>
      <c r="F53" s="510"/>
      <c r="G53" s="510"/>
    </row>
    <row r="54" spans="1:7" x14ac:dyDescent="0.35">
      <c r="A54" s="510" t="s">
        <v>19</v>
      </c>
      <c r="B54" s="510"/>
      <c r="C54" s="510"/>
      <c r="D54" s="510"/>
      <c r="E54" s="510"/>
      <c r="F54" s="510"/>
      <c r="G54" s="510"/>
    </row>
    <row r="55" spans="1:7" x14ac:dyDescent="0.35">
      <c r="A55" s="510" t="s">
        <v>21</v>
      </c>
      <c r="B55" s="510"/>
      <c r="C55" s="510"/>
      <c r="D55" s="510"/>
      <c r="E55" s="510"/>
      <c r="F55" s="510"/>
      <c r="G55" s="510"/>
    </row>
    <row r="56" spans="1:7" x14ac:dyDescent="0.35">
      <c r="A56" s="510" t="s">
        <v>33</v>
      </c>
      <c r="B56" s="510"/>
      <c r="C56" s="510"/>
      <c r="D56" s="510"/>
      <c r="E56" s="510"/>
      <c r="F56" s="510"/>
      <c r="G56" s="510"/>
    </row>
    <row r="57" spans="1:7" x14ac:dyDescent="0.35">
      <c r="A57" s="510" t="s">
        <v>20</v>
      </c>
      <c r="B57" s="510"/>
      <c r="C57" s="510"/>
      <c r="D57" s="510"/>
      <c r="E57" s="510"/>
      <c r="F57" s="510"/>
      <c r="G57" s="510"/>
    </row>
    <row r="58" spans="1:7" x14ac:dyDescent="0.35">
      <c r="A58" s="511" t="s">
        <v>22</v>
      </c>
      <c r="B58" s="511"/>
      <c r="C58" s="511"/>
      <c r="D58" s="511"/>
      <c r="E58" s="511"/>
      <c r="F58" s="511"/>
      <c r="G58" s="511"/>
    </row>
    <row r="59" spans="1:7" x14ac:dyDescent="0.35">
      <c r="A59" s="510" t="s">
        <v>34</v>
      </c>
      <c r="B59" s="510"/>
      <c r="C59" s="510"/>
      <c r="D59" s="510"/>
      <c r="E59" s="510"/>
      <c r="F59" s="510"/>
      <c r="G59" s="510"/>
    </row>
    <row r="60" spans="1:7" x14ac:dyDescent="0.35">
      <c r="A60" s="510" t="s">
        <v>35</v>
      </c>
      <c r="B60" s="510"/>
      <c r="C60" s="510"/>
      <c r="D60" s="510"/>
      <c r="E60" s="510"/>
      <c r="F60" s="510"/>
      <c r="G60" s="510"/>
    </row>
  </sheetData>
  <mergeCells count="20">
    <mergeCell ref="A50:G50"/>
    <mergeCell ref="A1:G1"/>
    <mergeCell ref="A4:A12"/>
    <mergeCell ref="C4:C8"/>
    <mergeCell ref="C9:C12"/>
    <mergeCell ref="A15:A34"/>
    <mergeCell ref="C25:C34"/>
    <mergeCell ref="A36:A37"/>
    <mergeCell ref="A38:A39"/>
    <mergeCell ref="A46:G46"/>
    <mergeCell ref="A48:G48"/>
    <mergeCell ref="A49:G49"/>
    <mergeCell ref="A59:G59"/>
    <mergeCell ref="A60:G60"/>
    <mergeCell ref="A53:G53"/>
    <mergeCell ref="A54:G54"/>
    <mergeCell ref="A55:G55"/>
    <mergeCell ref="A56:G56"/>
    <mergeCell ref="A57:G57"/>
    <mergeCell ref="A58:G58"/>
  </mergeCells>
  <pageMargins left="0.7" right="0.7" top="0.75" bottom="0.75" header="0.3" footer="0.3"/>
  <pageSetup paperSize="9" scale="6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68420-A5DD-46F9-AD34-061A7B271937}">
  <sheetPr>
    <tabColor theme="4" tint="0.59999389629810485"/>
    <pageSetUpPr fitToPage="1"/>
  </sheetPr>
  <dimension ref="A1:J46"/>
  <sheetViews>
    <sheetView workbookViewId="0">
      <selection activeCell="J7" sqref="J7"/>
    </sheetView>
  </sheetViews>
  <sheetFormatPr defaultColWidth="9.1796875" defaultRowHeight="14.5" x14ac:dyDescent="0.35"/>
  <cols>
    <col min="1" max="1" width="22.1796875" style="331" bestFit="1" customWidth="1"/>
    <col min="2" max="2" width="49.81640625" style="331" customWidth="1"/>
    <col min="3" max="3" width="10.26953125" style="331" customWidth="1"/>
    <col min="4" max="4" width="12" style="331" bestFit="1" customWidth="1"/>
    <col min="5" max="5" width="13.7265625" style="331" customWidth="1"/>
    <col min="6" max="6" width="10.81640625" style="331" bestFit="1" customWidth="1"/>
    <col min="7" max="7" width="10.26953125" style="331" customWidth="1"/>
    <col min="8" max="8" width="10.54296875" style="331" hidden="1" customWidth="1"/>
    <col min="9" max="9" width="9.54296875" style="331" bestFit="1" customWidth="1"/>
    <col min="10" max="16384" width="9.1796875" style="331"/>
  </cols>
  <sheetData>
    <row r="1" spans="1:10" ht="41.25" customHeight="1" thickBot="1" x14ac:dyDescent="0.4">
      <c r="A1" s="531" t="s">
        <v>68</v>
      </c>
      <c r="B1" s="531"/>
      <c r="C1" s="531"/>
      <c r="D1" s="531"/>
      <c r="E1" s="531"/>
      <c r="F1" s="531"/>
      <c r="G1" s="531"/>
    </row>
    <row r="2" spans="1:10" ht="28.5" thickBot="1" x14ac:dyDescent="0.4">
      <c r="A2" s="421" t="s">
        <v>3</v>
      </c>
      <c r="B2" s="422"/>
      <c r="C2" s="423" t="s">
        <v>4</v>
      </c>
      <c r="D2" s="423" t="s">
        <v>0</v>
      </c>
      <c r="E2" s="424" t="s">
        <v>10</v>
      </c>
      <c r="F2" s="423" t="s">
        <v>1</v>
      </c>
      <c r="G2" s="425" t="s">
        <v>2</v>
      </c>
    </row>
    <row r="3" spans="1:10" ht="15" thickBot="1" x14ac:dyDescent="0.4">
      <c r="A3" s="426" t="s">
        <v>14</v>
      </c>
      <c r="B3" s="337" t="s">
        <v>51</v>
      </c>
      <c r="C3" s="338"/>
      <c r="D3" s="339">
        <f>(D10-D9)*D13</f>
        <v>-6949.3708200000237</v>
      </c>
      <c r="E3" s="339">
        <f>(E10-E9)*E13</f>
        <v>-1294.2280539999945</v>
      </c>
      <c r="F3" s="339">
        <f>(F10-F9)*F13</f>
        <v>-6813.2444880000075</v>
      </c>
      <c r="G3" s="340">
        <f>(G10-G9)*G13</f>
        <v>0</v>
      </c>
    </row>
    <row r="4" spans="1:10" x14ac:dyDescent="0.35">
      <c r="A4" s="532" t="s">
        <v>156</v>
      </c>
      <c r="B4" s="396" t="s">
        <v>11</v>
      </c>
      <c r="C4" s="520" t="s">
        <v>5</v>
      </c>
      <c r="D4" s="397">
        <v>43</v>
      </c>
      <c r="E4" s="398">
        <v>13</v>
      </c>
      <c r="F4" s="397">
        <v>20</v>
      </c>
      <c r="G4" s="344"/>
    </row>
    <row r="5" spans="1:10" x14ac:dyDescent="0.35">
      <c r="A5" s="533"/>
      <c r="B5" s="345" t="s">
        <v>48</v>
      </c>
      <c r="C5" s="520"/>
      <c r="D5" s="346">
        <v>13099</v>
      </c>
      <c r="E5" s="346">
        <v>8889</v>
      </c>
      <c r="F5" s="399">
        <v>7884</v>
      </c>
      <c r="G5" s="347"/>
    </row>
    <row r="6" spans="1:10" x14ac:dyDescent="0.35">
      <c r="A6" s="533"/>
      <c r="B6" s="345" t="s">
        <v>49</v>
      </c>
      <c r="C6" s="520"/>
      <c r="D6" s="400">
        <f>D5+D7-D8</f>
        <v>12827</v>
      </c>
      <c r="E6" s="400">
        <f t="shared" ref="E6:G6" si="0">E5+E7-E8</f>
        <v>8721</v>
      </c>
      <c r="F6" s="400">
        <f t="shared" si="0"/>
        <v>7576</v>
      </c>
      <c r="G6" s="401">
        <f t="shared" si="0"/>
        <v>0</v>
      </c>
    </row>
    <row r="7" spans="1:10" x14ac:dyDescent="0.35">
      <c r="A7" s="533"/>
      <c r="B7" s="348" t="s">
        <v>44</v>
      </c>
      <c r="C7" s="520"/>
      <c r="D7" s="400">
        <v>0</v>
      </c>
      <c r="E7" s="400">
        <v>0</v>
      </c>
      <c r="F7" s="400">
        <v>0</v>
      </c>
      <c r="G7" s="401"/>
    </row>
    <row r="8" spans="1:10" x14ac:dyDescent="0.35">
      <c r="A8" s="533"/>
      <c r="B8" s="348" t="s">
        <v>45</v>
      </c>
      <c r="C8" s="521"/>
      <c r="D8" s="400">
        <v>272</v>
      </c>
      <c r="E8" s="400">
        <v>168</v>
      </c>
      <c r="F8" s="400">
        <v>308</v>
      </c>
      <c r="G8" s="401"/>
    </row>
    <row r="9" spans="1:10" x14ac:dyDescent="0.35">
      <c r="A9" s="533"/>
      <c r="B9" s="345" t="s">
        <v>42</v>
      </c>
      <c r="C9" s="522" t="s">
        <v>7</v>
      </c>
      <c r="D9" s="400">
        <v>188387.64</v>
      </c>
      <c r="E9" s="400">
        <v>82584.09</v>
      </c>
      <c r="F9" s="400">
        <v>56138.485999999997</v>
      </c>
      <c r="G9" s="401"/>
    </row>
    <row r="10" spans="1:10" x14ac:dyDescent="0.35">
      <c r="A10" s="533"/>
      <c r="B10" s="345" t="s">
        <v>50</v>
      </c>
      <c r="C10" s="523"/>
      <c r="D10" s="400">
        <f t="shared" ref="D10:G10" si="1">D9+D11-D12</f>
        <v>184240</v>
      </c>
      <c r="E10" s="400">
        <f t="shared" si="1"/>
        <v>81070.55</v>
      </c>
      <c r="F10" s="400">
        <f t="shared" si="1"/>
        <v>53928.115999999995</v>
      </c>
      <c r="G10" s="401">
        <f t="shared" si="1"/>
        <v>0</v>
      </c>
      <c r="I10" s="350"/>
      <c r="J10" s="351"/>
    </row>
    <row r="11" spans="1:10" x14ac:dyDescent="0.35">
      <c r="A11" s="533"/>
      <c r="B11" s="352" t="s">
        <v>46</v>
      </c>
      <c r="C11" s="523"/>
      <c r="D11" s="400">
        <v>0</v>
      </c>
      <c r="E11" s="400">
        <v>0</v>
      </c>
      <c r="F11" s="400">
        <v>0</v>
      </c>
      <c r="G11" s="401"/>
    </row>
    <row r="12" spans="1:10" x14ac:dyDescent="0.35">
      <c r="A12" s="534"/>
      <c r="B12" s="352" t="s">
        <v>47</v>
      </c>
      <c r="C12" s="524"/>
      <c r="D12" s="400">
        <v>4147.6400000000003</v>
      </c>
      <c r="E12" s="400">
        <v>1513.54</v>
      </c>
      <c r="F12" s="400">
        <v>2210.37</v>
      </c>
      <c r="G12" s="401"/>
    </row>
    <row r="13" spans="1:10" ht="15" thickBot="1" x14ac:dyDescent="0.4">
      <c r="A13" s="427" t="s">
        <v>156</v>
      </c>
      <c r="B13" s="354" t="s">
        <v>43</v>
      </c>
      <c r="C13" s="355" t="s">
        <v>8</v>
      </c>
      <c r="D13" s="402">
        <v>1.6755</v>
      </c>
      <c r="E13" s="402">
        <v>0.85509999999999997</v>
      </c>
      <c r="F13" s="402">
        <v>3.0823999999999998</v>
      </c>
      <c r="G13" s="403"/>
    </row>
    <row r="14" spans="1:10" ht="29" thickBot="1" x14ac:dyDescent="0.4">
      <c r="A14" s="428" t="s">
        <v>15</v>
      </c>
      <c r="B14" s="359" t="s">
        <v>41</v>
      </c>
      <c r="C14" s="360"/>
      <c r="D14" s="361">
        <f>SUM(D17*D20,D16*D19)</f>
        <v>1.0979999999999999</v>
      </c>
      <c r="E14" s="361">
        <f t="shared" ref="E14:G14" si="2">SUM(E17*E20,E16*E19)</f>
        <v>0.39599999999999996</v>
      </c>
      <c r="F14" s="361">
        <f t="shared" si="2"/>
        <v>14.31</v>
      </c>
      <c r="G14" s="362">
        <f t="shared" si="2"/>
        <v>0</v>
      </c>
    </row>
    <row r="15" spans="1:10" ht="30" customHeight="1" x14ac:dyDescent="0.35">
      <c r="A15" s="535" t="s">
        <v>156</v>
      </c>
      <c r="B15" s="404" t="s">
        <v>39</v>
      </c>
      <c r="C15" s="405"/>
      <c r="D15" s="406"/>
      <c r="E15" s="406"/>
      <c r="F15" s="406"/>
      <c r="G15" s="407"/>
    </row>
    <row r="16" spans="1:10" x14ac:dyDescent="0.35">
      <c r="A16" s="536"/>
      <c r="B16" s="368" t="s">
        <v>157</v>
      </c>
      <c r="C16" s="369" t="s">
        <v>25</v>
      </c>
      <c r="D16" s="406"/>
      <c r="E16" s="406"/>
      <c r="F16" s="408">
        <v>5</v>
      </c>
      <c r="G16" s="407"/>
    </row>
    <row r="17" spans="1:10" ht="15" thickBot="1" x14ac:dyDescent="0.4">
      <c r="A17" s="536"/>
      <c r="B17" s="368" t="s">
        <v>158</v>
      </c>
      <c r="C17" s="369" t="s">
        <v>59</v>
      </c>
      <c r="D17" s="406">
        <v>0.24399999999999999</v>
      </c>
      <c r="E17" s="406">
        <v>8.7999999999999995E-2</v>
      </c>
      <c r="F17" s="408"/>
      <c r="G17" s="407"/>
    </row>
    <row r="18" spans="1:10" ht="28.5" x14ac:dyDescent="0.35">
      <c r="A18" s="536"/>
      <c r="B18" s="363" t="s">
        <v>40</v>
      </c>
      <c r="C18" s="527" t="s">
        <v>26</v>
      </c>
      <c r="D18" s="414"/>
      <c r="E18" s="414"/>
      <c r="F18" s="414"/>
      <c r="G18" s="415"/>
    </row>
    <row r="19" spans="1:10" x14ac:dyDescent="0.35">
      <c r="A19" s="536"/>
      <c r="B19" s="368" t="s">
        <v>157</v>
      </c>
      <c r="C19" s="527"/>
      <c r="D19" s="406"/>
      <c r="E19" s="406"/>
      <c r="F19" s="406">
        <v>2.8620000000000001</v>
      </c>
      <c r="G19" s="407"/>
    </row>
    <row r="20" spans="1:10" ht="15" thickBot="1" x14ac:dyDescent="0.4">
      <c r="A20" s="536"/>
      <c r="B20" s="368" t="s">
        <v>158</v>
      </c>
      <c r="C20" s="527"/>
      <c r="D20" s="406">
        <v>4.5</v>
      </c>
      <c r="E20" s="406">
        <v>4.5</v>
      </c>
      <c r="F20" s="406"/>
      <c r="G20" s="407"/>
    </row>
    <row r="21" spans="1:10" x14ac:dyDescent="0.35">
      <c r="A21" s="429" t="s">
        <v>27</v>
      </c>
      <c r="B21" s="377" t="s">
        <v>53</v>
      </c>
      <c r="C21" s="378"/>
      <c r="D21" s="379">
        <f>((D24/D25)-(D22/D23))*D23</f>
        <v>29565.454280688326</v>
      </c>
      <c r="E21" s="379">
        <f>((E24/E25)-(E22/E23))*E23</f>
        <v>20292.916941084117</v>
      </c>
      <c r="F21" s="379">
        <f>((F24/F25)-(F22/F23))*F23</f>
        <v>7602.4766677485641</v>
      </c>
      <c r="G21" s="380" t="e">
        <f>((G24/G25)-(G22/G23))*G23</f>
        <v>#DIV/0!</v>
      </c>
      <c r="H21" s="381">
        <f>SUM(D21:F21)</f>
        <v>57460.847889520999</v>
      </c>
    </row>
    <row r="22" spans="1:10" ht="56.5" x14ac:dyDescent="0.35">
      <c r="A22" s="528" t="s">
        <v>156</v>
      </c>
      <c r="B22" s="382" t="s">
        <v>36</v>
      </c>
      <c r="C22" s="383" t="s">
        <v>30</v>
      </c>
      <c r="D22" s="416">
        <v>123559.9</v>
      </c>
      <c r="E22" s="417">
        <v>41461.47</v>
      </c>
      <c r="F22" s="416">
        <v>40505.980000000003</v>
      </c>
      <c r="G22" s="418"/>
      <c r="H22" s="381">
        <f>SUM(D22:G22)</f>
        <v>205527.35</v>
      </c>
      <c r="I22" s="351"/>
      <c r="J22" s="351"/>
    </row>
    <row r="23" spans="1:10" x14ac:dyDescent="0.35">
      <c r="A23" s="529"/>
      <c r="B23" s="382" t="s">
        <v>52</v>
      </c>
      <c r="C23" s="383" t="s">
        <v>7</v>
      </c>
      <c r="D23" s="416">
        <f>D10</f>
        <v>184240</v>
      </c>
      <c r="E23" s="416">
        <f>E10</f>
        <v>81070.55</v>
      </c>
      <c r="F23" s="416">
        <f>F10</f>
        <v>53928.115999999995</v>
      </c>
      <c r="G23" s="430">
        <f>G10</f>
        <v>0</v>
      </c>
      <c r="H23" s="381">
        <f>SUM(D23:G23)</f>
        <v>319238.66599999997</v>
      </c>
      <c r="I23" s="351"/>
      <c r="J23" s="351"/>
    </row>
    <row r="24" spans="1:10" ht="56.5" x14ac:dyDescent="0.35">
      <c r="A24" s="528" t="s">
        <v>159</v>
      </c>
      <c r="B24" s="382" t="s">
        <v>37</v>
      </c>
      <c r="C24" s="383" t="s">
        <v>30</v>
      </c>
      <c r="D24" s="416">
        <v>183007.33</v>
      </c>
      <c r="E24" s="416">
        <v>64140.29</v>
      </c>
      <c r="F24" s="416">
        <v>51708.99</v>
      </c>
      <c r="G24" s="418"/>
      <c r="H24" s="381">
        <f t="shared" ref="H24:H25" si="3">SUM(D24:G24)</f>
        <v>298856.61</v>
      </c>
      <c r="I24" s="351"/>
      <c r="J24" s="351"/>
    </row>
    <row r="25" spans="1:10" ht="15" thickBot="1" x14ac:dyDescent="0.4">
      <c r="A25" s="530"/>
      <c r="B25" s="387" t="s">
        <v>38</v>
      </c>
      <c r="C25" s="388" t="s">
        <v>7</v>
      </c>
      <c r="D25" s="419">
        <v>220193.91</v>
      </c>
      <c r="E25" s="419">
        <v>84202.739999999976</v>
      </c>
      <c r="F25" s="419">
        <v>57964.204302406324</v>
      </c>
      <c r="G25" s="420"/>
      <c r="H25" s="381">
        <f t="shared" si="3"/>
        <v>362360.85430240631</v>
      </c>
      <c r="I25" s="351"/>
      <c r="J25" s="351"/>
    </row>
    <row r="26" spans="1:10" x14ac:dyDescent="0.35">
      <c r="A26" s="391"/>
      <c r="B26" s="391"/>
      <c r="C26" s="391"/>
      <c r="D26" s="391"/>
      <c r="E26" s="391"/>
      <c r="F26" s="391"/>
      <c r="G26" s="391"/>
    </row>
    <row r="27" spans="1:10" x14ac:dyDescent="0.35">
      <c r="A27" s="391"/>
      <c r="B27" s="391"/>
      <c r="C27" s="391"/>
      <c r="D27" s="391"/>
      <c r="E27" s="391"/>
      <c r="F27" s="391"/>
      <c r="G27" s="391"/>
    </row>
    <row r="28" spans="1:10" ht="15" thickBot="1" x14ac:dyDescent="0.4">
      <c r="A28" s="391"/>
      <c r="B28" s="392" t="s">
        <v>67</v>
      </c>
      <c r="C28" s="393"/>
      <c r="D28" s="393"/>
      <c r="E28" s="393"/>
      <c r="F28" s="393"/>
      <c r="G28" s="393"/>
    </row>
    <row r="29" spans="1:10" ht="15" thickTop="1" x14ac:dyDescent="0.35">
      <c r="A29" s="391"/>
      <c r="B29" s="391"/>
      <c r="C29" s="391"/>
      <c r="D29" s="391"/>
      <c r="E29" s="391"/>
      <c r="F29" s="391"/>
      <c r="G29" s="391"/>
    </row>
    <row r="30" spans="1:10" x14ac:dyDescent="0.35">
      <c r="A30" s="391"/>
      <c r="B30" s="391"/>
      <c r="C30" s="391"/>
      <c r="D30" s="391"/>
      <c r="E30" s="391"/>
      <c r="F30" s="391"/>
      <c r="G30" s="391"/>
    </row>
    <row r="31" spans="1:10" x14ac:dyDescent="0.35">
      <c r="A31" s="391" t="s">
        <v>9</v>
      </c>
      <c r="B31" s="391"/>
      <c r="C31" s="391"/>
      <c r="D31" s="391"/>
      <c r="E31" s="391"/>
      <c r="F31" s="391"/>
      <c r="G31" s="391"/>
    </row>
    <row r="32" spans="1:10" x14ac:dyDescent="0.35">
      <c r="A32" s="510" t="s">
        <v>24</v>
      </c>
      <c r="B32" s="510"/>
      <c r="C32" s="510"/>
      <c r="D32" s="510"/>
      <c r="E32" s="510"/>
      <c r="F32" s="510"/>
      <c r="G32" s="510"/>
    </row>
    <row r="33" spans="1:7" x14ac:dyDescent="0.35">
      <c r="A33" s="394" t="s">
        <v>23</v>
      </c>
      <c r="B33" s="394"/>
      <c r="C33" s="394"/>
      <c r="D33" s="394"/>
      <c r="E33" s="394"/>
      <c r="F33" s="394"/>
      <c r="G33" s="394"/>
    </row>
    <row r="34" spans="1:7" x14ac:dyDescent="0.35">
      <c r="A34" s="514" t="s">
        <v>16</v>
      </c>
      <c r="B34" s="514"/>
      <c r="C34" s="514"/>
      <c r="D34" s="514"/>
      <c r="E34" s="514"/>
      <c r="F34" s="514"/>
      <c r="G34" s="514"/>
    </row>
    <row r="35" spans="1:7" x14ac:dyDescent="0.35">
      <c r="A35" s="510" t="s">
        <v>155</v>
      </c>
      <c r="B35" s="510"/>
      <c r="C35" s="510"/>
      <c r="D35" s="510"/>
      <c r="E35" s="510"/>
      <c r="F35" s="510"/>
      <c r="G35" s="510"/>
    </row>
    <row r="36" spans="1:7" x14ac:dyDescent="0.35">
      <c r="A36" s="510" t="s">
        <v>31</v>
      </c>
      <c r="B36" s="510"/>
      <c r="C36" s="510"/>
      <c r="D36" s="510"/>
      <c r="E36" s="510"/>
      <c r="F36" s="510"/>
      <c r="G36" s="510"/>
    </row>
    <row r="37" spans="1:7" x14ac:dyDescent="0.35">
      <c r="A37" s="394"/>
      <c r="B37" s="394"/>
      <c r="C37" s="394"/>
      <c r="D37" s="394"/>
      <c r="E37" s="394"/>
      <c r="F37" s="394"/>
      <c r="G37" s="394"/>
    </row>
    <row r="38" spans="1:7" x14ac:dyDescent="0.35">
      <c r="A38" s="395" t="s">
        <v>17</v>
      </c>
      <c r="B38" s="394"/>
      <c r="C38" s="394"/>
      <c r="D38" s="394"/>
      <c r="E38" s="394"/>
      <c r="F38" s="394"/>
      <c r="G38" s="394"/>
    </row>
    <row r="39" spans="1:7" x14ac:dyDescent="0.35">
      <c r="A39" s="510" t="s">
        <v>32</v>
      </c>
      <c r="B39" s="510"/>
      <c r="C39" s="510"/>
      <c r="D39" s="510"/>
      <c r="E39" s="510"/>
      <c r="F39" s="510"/>
      <c r="G39" s="510"/>
    </row>
    <row r="40" spans="1:7" x14ac:dyDescent="0.35">
      <c r="A40" s="510" t="s">
        <v>19</v>
      </c>
      <c r="B40" s="510"/>
      <c r="C40" s="510"/>
      <c r="D40" s="510"/>
      <c r="E40" s="510"/>
      <c r="F40" s="510"/>
      <c r="G40" s="510"/>
    </row>
    <row r="41" spans="1:7" x14ac:dyDescent="0.35">
      <c r="A41" s="510" t="s">
        <v>21</v>
      </c>
      <c r="B41" s="510"/>
      <c r="C41" s="510"/>
      <c r="D41" s="510"/>
      <c r="E41" s="510"/>
      <c r="F41" s="510"/>
      <c r="G41" s="510"/>
    </row>
    <row r="42" spans="1:7" x14ac:dyDescent="0.35">
      <c r="A42" s="510" t="s">
        <v>33</v>
      </c>
      <c r="B42" s="510"/>
      <c r="C42" s="510"/>
      <c r="D42" s="510"/>
      <c r="E42" s="510"/>
      <c r="F42" s="510"/>
      <c r="G42" s="510"/>
    </row>
    <row r="43" spans="1:7" x14ac:dyDescent="0.35">
      <c r="A43" s="510" t="s">
        <v>20</v>
      </c>
      <c r="B43" s="510"/>
      <c r="C43" s="510"/>
      <c r="D43" s="510"/>
      <c r="E43" s="510"/>
      <c r="F43" s="510"/>
      <c r="G43" s="510"/>
    </row>
    <row r="44" spans="1:7" x14ac:dyDescent="0.35">
      <c r="A44" s="511" t="s">
        <v>22</v>
      </c>
      <c r="B44" s="511"/>
      <c r="C44" s="511"/>
      <c r="D44" s="511"/>
      <c r="E44" s="511"/>
      <c r="F44" s="511"/>
      <c r="G44" s="511"/>
    </row>
    <row r="45" spans="1:7" x14ac:dyDescent="0.35">
      <c r="A45" s="510" t="s">
        <v>34</v>
      </c>
      <c r="B45" s="510"/>
      <c r="C45" s="510"/>
      <c r="D45" s="510"/>
      <c r="E45" s="510"/>
      <c r="F45" s="510"/>
      <c r="G45" s="510"/>
    </row>
    <row r="46" spans="1:7" x14ac:dyDescent="0.35">
      <c r="A46" s="510" t="s">
        <v>35</v>
      </c>
      <c r="B46" s="510"/>
      <c r="C46" s="510"/>
      <c r="D46" s="510"/>
      <c r="E46" s="510"/>
      <c r="F46" s="510"/>
      <c r="G46" s="510"/>
    </row>
  </sheetData>
  <mergeCells count="20">
    <mergeCell ref="A36:G36"/>
    <mergeCell ref="A1:G1"/>
    <mergeCell ref="A4:A12"/>
    <mergeCell ref="C4:C8"/>
    <mergeCell ref="C9:C12"/>
    <mergeCell ref="A15:A20"/>
    <mergeCell ref="C18:C20"/>
    <mergeCell ref="A22:A23"/>
    <mergeCell ref="A24:A25"/>
    <mergeCell ref="A32:G32"/>
    <mergeCell ref="A34:G34"/>
    <mergeCell ref="A35:G35"/>
    <mergeCell ref="A45:G45"/>
    <mergeCell ref="A46:G46"/>
    <mergeCell ref="A39:G39"/>
    <mergeCell ref="A40:G40"/>
    <mergeCell ref="A41:G41"/>
    <mergeCell ref="A42:G42"/>
    <mergeCell ref="A43:G43"/>
    <mergeCell ref="A44:G44"/>
  </mergeCells>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marts</vt:lpstr>
      <vt:lpstr>aprīlis</vt:lpstr>
      <vt:lpstr>maijs</vt:lpstr>
      <vt:lpstr>jūnijs</vt:lpstr>
      <vt:lpstr>jūlijs</vt:lpstr>
      <vt:lpstr>augusts</vt:lpstr>
      <vt:lpstr>septembris</vt:lpstr>
      <vt:lpstr>oktobris</vt:lpstr>
      <vt:lpstr>novembris</vt:lpstr>
      <vt:lpstr>decembris</vt:lpstr>
      <vt:lpstr>PIVOT_atskaite</vt:lpstr>
      <vt:lpstr>PIVOT</vt:lpstr>
      <vt:lpstr>atskaites_jedox</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Kristīne Grīviņa</dc:creator>
  <cp:keywords/>
  <dc:description/>
  <cp:lastModifiedBy>Ilze Pence</cp:lastModifiedBy>
  <cp:lastPrinted>2021-08-06T11:21:00Z</cp:lastPrinted>
  <dcterms:created xsi:type="dcterms:W3CDTF">2021-03-26T09:43:50Z</dcterms:created>
  <dcterms:modified xsi:type="dcterms:W3CDTF">2022-03-09T07:23:31Z</dcterms:modified>
  <cp:category/>
</cp:coreProperties>
</file>